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liver.kuks\Downloads\"/>
    </mc:Choice>
  </mc:AlternateContent>
  <xr:revisionPtr revIDLastSave="0" documentId="13_ncr:1_{D2395F28-F390-4E75-80D6-48BC08A9DB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õistkond" sheetId="1" r:id="rId1"/>
    <sheet name="Noored" sheetId="2" r:id="rId2"/>
    <sheet name="300m" sheetId="3" r:id="rId3"/>
    <sheet name="Leht6" sheetId="4" state="hidden" r:id="rId4"/>
    <sheet name="300m VABA" sheetId="5" r:id="rId5"/>
    <sheet name="200 m 2x10" sheetId="6" r:id="rId6"/>
    <sheet name="100m 3x10" sheetId="7" r:id="rId7"/>
    <sheet name="50m liikuv" sheetId="8" r:id="rId8"/>
    <sheet name="50m 3x20" sheetId="9" r:id="rId9"/>
    <sheet name="50m lamades" sheetId="10" r:id="rId10"/>
    <sheet name="25m 9,0mm" sheetId="11" r:id="rId11"/>
    <sheet name="25m .22 30+30 " sheetId="12" r:id="rId12"/>
    <sheet name="25m .22" sheetId="13" r:id="rId13"/>
    <sheet name="Mehed" sheetId="14" r:id="rId14"/>
    <sheet name="Naised" sheetId="15" r:id="rId15"/>
    <sheet name="Juunior M" sheetId="16" r:id="rId16"/>
    <sheet name="Juunior N" sheetId="17" r:id="rId17"/>
    <sheet name="Poisid" sheetId="18" r:id="rId18"/>
    <sheet name="Tüdrukud" sheetId="19" r:id="rId19"/>
    <sheet name="Üldarvestus" sheetId="20" r:id="rId20"/>
    <sheet name="StartList" sheetId="21" r:id="rId21"/>
    <sheet name="KKK" sheetId="22" r:id="rId22"/>
    <sheet name="Valikud" sheetId="23" r:id="rId23"/>
  </sheets>
  <definedNames>
    <definedName name="_xlnm._FilterDatabase" localSheetId="11" hidden="1">'25m .22 30+30 '!$A$2:$N$35</definedName>
    <definedName name="_xlnm._FilterDatabase" localSheetId="10" hidden="1">'25m 9,0mm'!$A$2:$N$43</definedName>
    <definedName name="_xlnm._FilterDatabase" localSheetId="20" hidden="1">StartList!$A$1:$N$512</definedName>
    <definedName name="ALA">StartList!$D$1:$D$512</definedName>
    <definedName name="Nimekiri">StartList!$A:$N</definedName>
    <definedName name="Osalejad">Valikud!$F$3:$F$477</definedName>
    <definedName name="Päised">StartList!$A$1:$N$1</definedName>
    <definedName name="Z_04C1346E_E972_47D9_AB54_A9E3E388B76D_.wvu.FilterData" localSheetId="20" hidden="1">StartList!$A$1:$N$512</definedName>
    <definedName name="Z_3D4A75E4_3A33_4619_B3A3_473B7FDA3612_.wvu.FilterData" localSheetId="8" hidden="1">'50m 3x20'!$A$2:$N$1000</definedName>
    <definedName name="Z_3D4A75E4_3A33_4619_B3A3_473B7FDA3612_.wvu.FilterData" localSheetId="9" hidden="1">'50m lamades'!$A$2:$N$1000</definedName>
    <definedName name="Z_42134171_6716_4D5F_9AD6_A4C5BCC5224C_.wvu.FilterData" localSheetId="20" hidden="1">StartList!$A$1:$N$512</definedName>
    <definedName name="Z_430F5AC0_44E5_467D_A1F0_B410ACE4FB98_.wvu.FilterData" localSheetId="20" hidden="1">StartList!$A$1:$N$512</definedName>
    <definedName name="Z_52165058_C673_4B84_B912_E0D8A2D0AE20_.wvu.FilterData" localSheetId="9" hidden="1">'50m lamades'!$A$2:$N$1000</definedName>
    <definedName name="Z_5C57F64D_F7EA_42EE_8302_87CFD3A619D8_.wvu.FilterData" localSheetId="0" hidden="1">Võistkond!$A$1:$M$999</definedName>
    <definedName name="Z_5DCD2FBD_CB0A_41B8_9966_D3EA39FA2098_.wvu.FilterData" localSheetId="20" hidden="1">StartList!$A$1:$N$512</definedName>
    <definedName name="Z_5FA21E8F_301D_4536_8159_B61B2049881D_.wvu.FilterData" localSheetId="20" hidden="1">StartList!$A$1:$N$512</definedName>
    <definedName name="Z_8432E023_586C_4770_AC67_709005F3DA64_.wvu.FilterData" localSheetId="20" hidden="1">StartList!$A$1:$N$512</definedName>
    <definedName name="Z_845FBECC_592C_4475_9184_0C9DD86A8A6D_.wvu.FilterData" localSheetId="6" hidden="1">'100m 3x10'!$A$2:$N$1000</definedName>
    <definedName name="Z_845FBECC_592C_4475_9184_0C9DD86A8A6D_.wvu.FilterData" localSheetId="5" hidden="1">'200 m 2x10'!$A$2:$N$1000</definedName>
    <definedName name="Z_845FBECC_592C_4475_9184_0C9DD86A8A6D_.wvu.FilterData" localSheetId="12" hidden="1">'25m .22'!$A$2:$N$1000</definedName>
    <definedName name="Z_845FBECC_592C_4475_9184_0C9DD86A8A6D_.wvu.FilterData" localSheetId="11" hidden="1">'25m .22 30+30 '!$A$2:$N$1000</definedName>
    <definedName name="Z_845FBECC_592C_4475_9184_0C9DD86A8A6D_.wvu.FilterData" localSheetId="10" hidden="1">'25m 9,0mm'!$A$2:$N$1005</definedName>
    <definedName name="Z_845FBECC_592C_4475_9184_0C9DD86A8A6D_.wvu.FilterData" localSheetId="2" hidden="1">'300m'!$A$2:$N$1000</definedName>
    <definedName name="Z_845FBECC_592C_4475_9184_0C9DD86A8A6D_.wvu.FilterData" localSheetId="4" hidden="1">'300m VABA'!$A$2:$N$1000</definedName>
    <definedName name="Z_845FBECC_592C_4475_9184_0C9DD86A8A6D_.wvu.FilterData" localSheetId="8" hidden="1">'50m 3x20'!$A$2:$N$1000</definedName>
    <definedName name="Z_845FBECC_592C_4475_9184_0C9DD86A8A6D_.wvu.FilterData" localSheetId="9" hidden="1">'50m lamades'!$A$2:$N$1000</definedName>
    <definedName name="Z_86EA01C0_CB46_450A_8C09_650957115191_.wvu.FilterData" localSheetId="20" hidden="1">StartList!$A$1:$N$512</definedName>
    <definedName name="Z_9E9F6428_F36A_4572_8977_D38EFE6DE029_.wvu.FilterData" localSheetId="20" hidden="1">StartList!$A$1:$N$512</definedName>
    <definedName name="Z_B04617FD_E50F_4841_931A_69574658CB0A_.wvu.FilterData" localSheetId="8" hidden="1">'50m 3x20'!$A$2:$N$1000</definedName>
    <definedName name="Z_B04617FD_E50F_4841_931A_69574658CB0A_.wvu.FilterData" localSheetId="9" hidden="1">'50m lamades'!$A$2:$N$1000</definedName>
    <definedName name="Z_B20DF795_D29E_4948_9725_1A28AFE2DB46_.wvu.FilterData" localSheetId="12" hidden="1">'25m .22'!$A$2:$N$1000</definedName>
    <definedName name="Z_C3F4648C_55E7_4AF0_A34B_E622A9015443_.wvu.FilterData" localSheetId="9" hidden="1">'50m lamades'!$A$2:$N$1000</definedName>
    <definedName name="Z_C6C5E855_7C77_4921_8F13_A733EE6303FA_.wvu.FilterData" localSheetId="6" hidden="1">'100m 3x10'!$A$2:$N$1000</definedName>
    <definedName name="Z_C6C5E855_7C77_4921_8F13_A733EE6303FA_.wvu.FilterData" localSheetId="5" hidden="1">'200 m 2x10'!$A$2:$N$1000</definedName>
    <definedName name="Z_C6C5E855_7C77_4921_8F13_A733EE6303FA_.wvu.FilterData" localSheetId="12" hidden="1">'25m .22'!$A$2:$N$1000</definedName>
    <definedName name="Z_C6C5E855_7C77_4921_8F13_A733EE6303FA_.wvu.FilterData" localSheetId="11" hidden="1">'25m .22 30+30 '!$A$2:$N$1000</definedName>
    <definedName name="Z_C6C5E855_7C77_4921_8F13_A733EE6303FA_.wvu.FilterData" localSheetId="10" hidden="1">'25m 9,0mm'!$A$2:$N$1005</definedName>
    <definedName name="Z_C6C5E855_7C77_4921_8F13_A733EE6303FA_.wvu.FilterData" localSheetId="2" hidden="1">'300m'!$A$2:$N$1000</definedName>
    <definedName name="Z_C6C5E855_7C77_4921_8F13_A733EE6303FA_.wvu.FilterData" localSheetId="4" hidden="1">'300m VABA'!$A$2:$N$1000</definedName>
    <definedName name="Z_C6C5E855_7C77_4921_8F13_A733EE6303FA_.wvu.FilterData" localSheetId="8" hidden="1">'50m 3x20'!$A$2:$N$1000</definedName>
    <definedName name="Z_C6C5E855_7C77_4921_8F13_A733EE6303FA_.wvu.FilterData" localSheetId="9" hidden="1">'50m lamades'!$A$2:$N$1000</definedName>
    <definedName name="Z_D62DDC4C_59BB_4432_B124_0F0C79006E1E_.wvu.FilterData" localSheetId="12" hidden="1">'25m .22'!$A$2:$N$1000</definedName>
    <definedName name="Z_D67D323C_3B0F_4FE4_9ADD_CD86C3AB987F_.wvu.FilterData" localSheetId="20" hidden="1">StartList!$A$1:$N$512</definedName>
    <definedName name="Z_D9AE939A_9EAB_4E5F_83E3_C3396AD423FA_.wvu.FilterData" localSheetId="20" hidden="1">StartList!$A$1:$N$512</definedName>
    <definedName name="Z_FEB16096_75DB_482A_94C2_C3EC101CDD1E_.wvu.FilterData" localSheetId="20" hidden="1">StartList!$A$1:$N$512</definedName>
    <definedName name="Võistleb">StartList!$E:$E</definedName>
    <definedName name="Võistlusklass">StartList!$C$1:$C$512</definedName>
  </definedNames>
  <calcPr calcId="191029"/>
  <customWorkbookViews>
    <customWorkbookView name="Naised" guid="{845FBECC-592C-4475-9184-0C9DD86A8A6D}" maximized="1" windowWidth="0" windowHeight="0" activeSheetId="0"/>
    <customWorkbookView name="Tüdrukud" guid="{C3F4648C-55E7-4AF0-A34B-E622A9015443}" maximized="1" windowWidth="0" windowHeight="0" activeSheetId="0"/>
    <customWorkbookView name="50m liikuv" guid="{8432E023-586C-4770-AC67-709005F3DA64}" maximized="1" windowWidth="0" windowHeight="0" activeSheetId="0"/>
    <customWorkbookView name="Neiud" guid="{B20DF795-D29E-4948-9725-1A28AFE2DB46}" maximized="1" windowWidth="0" windowHeight="0" activeSheetId="0"/>
    <customWorkbookView name="Filter 1" guid="{5FA21E8F-301D-4536-8159-B61B2049881D}" maximized="1" windowWidth="0" windowHeight="0" activeSheetId="0"/>
    <customWorkbookView name="200m 2x10" guid="{42134171-6716-4D5F-9AD6-A4C5BCC5224C}" maximized="1" windowWidth="0" windowHeight="0" activeSheetId="0"/>
    <customWorkbookView name="Poisid" guid="{52165058-C673-4B84-B912-E0D8A2D0AE20}" maximized="1" windowWidth="0" windowHeight="0" activeSheetId="0"/>
    <customWorkbookView name="25m 9mm" guid="{9E9F6428-F36A-4572-8977-D38EFE6DE029}" maximized="1" windowWidth="0" windowHeight="0" activeSheetId="0"/>
    <customWorkbookView name="50m 3x20" guid="{D9AE939A-9EAB-4E5F-83E3-C3396AD423FA}" maximized="1" windowWidth="0" windowHeight="0" activeSheetId="0"/>
    <customWorkbookView name="25m .22 2x30" guid="{D67D323C-3B0F-4FE4-9ADD-CD86C3AB987F}" maximized="1" windowWidth="0" windowHeight="0" activeSheetId="0"/>
    <customWorkbookView name="100m 3x10" guid="{FEB16096-75DB-482A-94C2-C3EC101CDD1E}" maximized="1" windowWidth="0" windowHeight="0" activeSheetId="0"/>
    <customWorkbookView name="25m .22" guid="{5DCD2FBD-CB0A-41B8-9966-D3EA39FA2098}" maximized="1" windowWidth="0" windowHeight="0" activeSheetId="0"/>
    <customWorkbookView name="Juunior M" guid="{B04617FD-E50F-4841-931A-69574658CB0A}" maximized="1" windowWidth="0" windowHeight="0" activeSheetId="0"/>
    <customWorkbookView name="300m" guid="{86EA01C0-CB46-450A-8C09-650957115191}" maximized="1" windowWidth="0" windowHeight="0" activeSheetId="0"/>
    <customWorkbookView name="Juunior N" guid="{3D4A75E4-3A33-4619-B3A3-473B7FDA3612}" maximized="1" windowWidth="0" windowHeight="0" activeSheetId="0"/>
    <customWorkbookView name="Noormehed" guid="{D62DDC4C-59BB-4432-B124-0F0C79006E1E}" maximized="1" windowWidth="0" windowHeight="0" activeSheetId="0"/>
    <customWorkbookView name="Nimeline" guid="{5C57F64D-F7EA-42EE-8302-87CFD3A619D8}" maximized="1" windowWidth="0" windowHeight="0" activeSheetId="0"/>
    <customWorkbookView name="Mehed" guid="{C6C5E855-7C77-4921-8F13-A733EE6303FA}" maximized="1" windowWidth="0" windowHeight="0" activeSheetId="0"/>
    <customWorkbookView name="300m VABA" guid="{04C1346E-E972-47D9-AB54-A9E3E388B76D}" maximized="1" windowWidth="0" windowHeight="0" activeSheetId="0"/>
    <customWorkbookView name="50m lamades" guid="{430F5AC0-44E5-467D-A1F0-B410ACE4FB98}" maximized="1" windowWidth="0" windowHeight="0" activeSheetId="0"/>
  </customWorkbookViews>
  <pivotCaches>
    <pivotCache cacheId="6" r:id="rId24"/>
    <pivotCache cacheId="12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2" i="21" l="1"/>
  <c r="M481" i="21"/>
  <c r="M480" i="21"/>
  <c r="N480" i="21" s="1"/>
  <c r="M479" i="21"/>
  <c r="N479" i="21" s="1"/>
  <c r="M478" i="21"/>
  <c r="M477" i="21"/>
  <c r="N477" i="21" s="1"/>
  <c r="M476" i="21"/>
  <c r="N476" i="21" s="1"/>
  <c r="M475" i="21"/>
  <c r="N474" i="21"/>
  <c r="M474" i="21"/>
  <c r="N473" i="21"/>
  <c r="M473" i="21"/>
  <c r="M472" i="21"/>
  <c r="N472" i="21" s="1"/>
  <c r="M471" i="21"/>
  <c r="M470" i="21"/>
  <c r="N470" i="21" s="1"/>
  <c r="M469" i="21"/>
  <c r="M468" i="21"/>
  <c r="M467" i="21"/>
  <c r="M466" i="21"/>
  <c r="N466" i="21" s="1"/>
  <c r="M465" i="21"/>
  <c r="N465" i="21" s="1"/>
  <c r="N464" i="21"/>
  <c r="M464" i="21"/>
  <c r="N463" i="21"/>
  <c r="M463" i="21"/>
  <c r="M462" i="21"/>
  <c r="N462" i="21" s="1"/>
  <c r="M461" i="21"/>
  <c r="N461" i="21" s="1"/>
  <c r="M460" i="21"/>
  <c r="M459" i="21"/>
  <c r="N459" i="21" s="1"/>
  <c r="M458" i="21"/>
  <c r="M457" i="21"/>
  <c r="N457" i="21" s="1"/>
  <c r="M456" i="21"/>
  <c r="N456" i="21" s="1"/>
  <c r="N455" i="21"/>
  <c r="M455" i="21"/>
  <c r="M454" i="21"/>
  <c r="N453" i="21"/>
  <c r="M453" i="21"/>
  <c r="M452" i="21"/>
  <c r="N452" i="21" s="1"/>
  <c r="M451" i="21"/>
  <c r="N451" i="21" s="1"/>
  <c r="M450" i="21"/>
  <c r="N450" i="21" s="1"/>
  <c r="N449" i="21"/>
  <c r="M449" i="21"/>
  <c r="M448" i="21"/>
  <c r="N448" i="21" s="1"/>
  <c r="M447" i="21"/>
  <c r="N446" i="21"/>
  <c r="M446" i="21"/>
  <c r="N445" i="21"/>
  <c r="M445" i="21"/>
  <c r="M444" i="21"/>
  <c r="N444" i="21" s="1"/>
  <c r="M443" i="21"/>
  <c r="N443" i="21" s="1"/>
  <c r="N442" i="21"/>
  <c r="M442" i="21"/>
  <c r="N441" i="21"/>
  <c r="M441" i="21"/>
  <c r="M440" i="21"/>
  <c r="M439" i="21"/>
  <c r="M438" i="21"/>
  <c r="N438" i="21" s="1"/>
  <c r="N437" i="21"/>
  <c r="M437" i="21"/>
  <c r="N436" i="21"/>
  <c r="M436" i="21"/>
  <c r="M435" i="21"/>
  <c r="N435" i="21" s="1"/>
  <c r="M434" i="21"/>
  <c r="N434" i="21" s="1"/>
  <c r="N433" i="21"/>
  <c r="M433" i="21"/>
  <c r="N432" i="21"/>
  <c r="M432" i="21"/>
  <c r="M431" i="21"/>
  <c r="N431" i="21" s="1"/>
  <c r="M430" i="21"/>
  <c r="N430" i="21" s="1"/>
  <c r="N429" i="21"/>
  <c r="M429" i="21"/>
  <c r="N428" i="21"/>
  <c r="M428" i="21"/>
  <c r="M427" i="21"/>
  <c r="N427" i="21" s="1"/>
  <c r="M426" i="21"/>
  <c r="N426" i="21" s="1"/>
  <c r="N425" i="21"/>
  <c r="M425" i="21"/>
  <c r="N424" i="21"/>
  <c r="M424" i="21"/>
  <c r="M423" i="21"/>
  <c r="N423" i="21" s="1"/>
  <c r="M422" i="21"/>
  <c r="N422" i="21" s="1"/>
  <c r="N421" i="21"/>
  <c r="M421" i="21"/>
  <c r="N420" i="21"/>
  <c r="M420" i="21"/>
  <c r="M419" i="21"/>
  <c r="N419" i="21" s="1"/>
  <c r="M418" i="21"/>
  <c r="N418" i="21" s="1"/>
  <c r="N417" i="21"/>
  <c r="M417" i="21"/>
  <c r="N416" i="21"/>
  <c r="M416" i="21"/>
  <c r="M415" i="21"/>
  <c r="N415" i="21" s="1"/>
  <c r="M414" i="21"/>
  <c r="M413" i="21"/>
  <c r="N413" i="21" s="1"/>
  <c r="M412" i="21"/>
  <c r="N412" i="21" s="1"/>
  <c r="N411" i="21"/>
  <c r="M411" i="21"/>
  <c r="N410" i="21"/>
  <c r="M410" i="21"/>
  <c r="M409" i="21"/>
  <c r="N409" i="21" s="1"/>
  <c r="M408" i="21"/>
  <c r="N407" i="21"/>
  <c r="M407" i="21"/>
  <c r="M406" i="21"/>
  <c r="M405" i="21"/>
  <c r="M404" i="21"/>
  <c r="M403" i="21"/>
  <c r="N403" i="21" s="1"/>
  <c r="M402" i="21"/>
  <c r="N402" i="21" s="1"/>
  <c r="N401" i="21"/>
  <c r="M401" i="21"/>
  <c r="N400" i="21"/>
  <c r="M400" i="21"/>
  <c r="M399" i="21"/>
  <c r="N399" i="21" s="1"/>
  <c r="M398" i="21"/>
  <c r="N398" i="21" s="1"/>
  <c r="M397" i="21"/>
  <c r="M396" i="21"/>
  <c r="N396" i="21" s="1"/>
  <c r="M395" i="21"/>
  <c r="N395" i="21" s="1"/>
  <c r="N394" i="21"/>
  <c r="M394" i="21"/>
  <c r="N393" i="21"/>
  <c r="M393" i="21"/>
  <c r="M392" i="21"/>
  <c r="N392" i="21" s="1"/>
  <c r="M391" i="21"/>
  <c r="N391" i="21" s="1"/>
  <c r="N390" i="21"/>
  <c r="M390" i="21"/>
  <c r="N389" i="21"/>
  <c r="M389" i="21"/>
  <c r="M388" i="21"/>
  <c r="N388" i="21" s="1"/>
  <c r="M387" i="21"/>
  <c r="N387" i="21" s="1"/>
  <c r="N386" i="21"/>
  <c r="M386" i="21"/>
  <c r="N385" i="21"/>
  <c r="M385" i="21"/>
  <c r="M384" i="21"/>
  <c r="N384" i="21" s="1"/>
  <c r="M383" i="21"/>
  <c r="N383" i="21" s="1"/>
  <c r="N382" i="21"/>
  <c r="M382" i="21"/>
  <c r="N381" i="21"/>
  <c r="M381" i="21"/>
  <c r="M380" i="21"/>
  <c r="N380" i="21" s="1"/>
  <c r="M379" i="21"/>
  <c r="N379" i="21" s="1"/>
  <c r="N378" i="21"/>
  <c r="M378" i="21"/>
  <c r="M377" i="21"/>
  <c r="M376" i="21"/>
  <c r="M375" i="21"/>
  <c r="N375" i="21" s="1"/>
  <c r="M374" i="21"/>
  <c r="N374" i="21" s="1"/>
  <c r="M373" i="21"/>
  <c r="M372" i="21"/>
  <c r="N371" i="21"/>
  <c r="M371" i="21"/>
  <c r="M370" i="21"/>
  <c r="N369" i="21"/>
  <c r="M369" i="21"/>
  <c r="M368" i="21"/>
  <c r="N368" i="21" s="1"/>
  <c r="M367" i="21"/>
  <c r="N367" i="21" s="1"/>
  <c r="N366" i="21"/>
  <c r="M366" i="21"/>
  <c r="N365" i="21"/>
  <c r="M365" i="21"/>
  <c r="M364" i="21"/>
  <c r="N364" i="21" s="1"/>
  <c r="M363" i="21"/>
  <c r="N363" i="21" s="1"/>
  <c r="N362" i="21"/>
  <c r="M362" i="21"/>
  <c r="N361" i="21"/>
  <c r="M361" i="21"/>
  <c r="M360" i="21"/>
  <c r="N360" i="21" s="1"/>
  <c r="M359" i="21"/>
  <c r="N359" i="21" s="1"/>
  <c r="N358" i="21"/>
  <c r="M358" i="21"/>
  <c r="M357" i="21"/>
  <c r="M356" i="21"/>
  <c r="N356" i="21" s="1"/>
  <c r="N355" i="21"/>
  <c r="M355" i="21"/>
  <c r="N354" i="21"/>
  <c r="M354" i="21"/>
  <c r="M353" i="21"/>
  <c r="N353" i="21" s="1"/>
  <c r="M352" i="21"/>
  <c r="N352" i="21" s="1"/>
  <c r="N351" i="21"/>
  <c r="M351" i="21"/>
  <c r="N350" i="21"/>
  <c r="M350" i="21"/>
  <c r="M349" i="21"/>
  <c r="N349" i="21" s="1"/>
  <c r="M348" i="21"/>
  <c r="N348" i="21" s="1"/>
  <c r="N347" i="21"/>
  <c r="M347" i="21"/>
  <c r="N346" i="21"/>
  <c r="M346" i="21"/>
  <c r="M345" i="21"/>
  <c r="N345" i="21" s="1"/>
  <c r="M344" i="21"/>
  <c r="N344" i="21" s="1"/>
  <c r="N343" i="21"/>
  <c r="M343" i="21"/>
  <c r="M342" i="21"/>
  <c r="N341" i="21"/>
  <c r="M341" i="21"/>
  <c r="M340" i="21"/>
  <c r="M339" i="21"/>
  <c r="N339" i="21" s="1"/>
  <c r="N338" i="21"/>
  <c r="M338" i="21"/>
  <c r="N337" i="21"/>
  <c r="M337" i="21"/>
  <c r="M336" i="21"/>
  <c r="N336" i="21" s="1"/>
  <c r="M335" i="21"/>
  <c r="N335" i="21" s="1"/>
  <c r="N334" i="21"/>
  <c r="M334" i="21"/>
  <c r="N333" i="21"/>
  <c r="M333" i="21"/>
  <c r="M332" i="21"/>
  <c r="N332" i="21" s="1"/>
  <c r="M331" i="21"/>
  <c r="N331" i="21" s="1"/>
  <c r="N330" i="21"/>
  <c r="M330" i="21"/>
  <c r="N329" i="21"/>
  <c r="M329" i="21"/>
  <c r="M328" i="21"/>
  <c r="N328" i="21" s="1"/>
  <c r="M327" i="21"/>
  <c r="N327" i="21" s="1"/>
  <c r="N326" i="21"/>
  <c r="M326" i="21"/>
  <c r="N325" i="21"/>
  <c r="M325" i="21"/>
  <c r="M324" i="21"/>
  <c r="N324" i="21" s="1"/>
  <c r="M323" i="21"/>
  <c r="N323" i="21" s="1"/>
  <c r="N322" i="21"/>
  <c r="M322" i="21"/>
  <c r="N321" i="21"/>
  <c r="M321" i="21"/>
  <c r="M320" i="21"/>
  <c r="N319" i="21"/>
  <c r="M319" i="21"/>
  <c r="M318" i="21"/>
  <c r="N318" i="21" s="1"/>
  <c r="M317" i="21"/>
  <c r="M316" i="21"/>
  <c r="M315" i="21"/>
  <c r="M314" i="21"/>
  <c r="N314" i="21" s="1"/>
  <c r="M313" i="21"/>
  <c r="N313" i="21" s="1"/>
  <c r="N312" i="21"/>
  <c r="M312" i="21"/>
  <c r="N311" i="21"/>
  <c r="M311" i="21"/>
  <c r="M310" i="21"/>
  <c r="N310" i="21" s="1"/>
  <c r="M309" i="21"/>
  <c r="N309" i="21" s="1"/>
  <c r="N308" i="21"/>
  <c r="M308" i="21"/>
  <c r="N307" i="21"/>
  <c r="M307" i="21"/>
  <c r="M306" i="21"/>
  <c r="N306" i="21" s="1"/>
  <c r="M305" i="21"/>
  <c r="N305" i="21" s="1"/>
  <c r="M304" i="21"/>
  <c r="M303" i="21"/>
  <c r="M302" i="21"/>
  <c r="M301" i="21"/>
  <c r="M300" i="21"/>
  <c r="N299" i="21"/>
  <c r="M299" i="21"/>
  <c r="M298" i="21"/>
  <c r="M297" i="21"/>
  <c r="M296" i="21"/>
  <c r="M295" i="21"/>
  <c r="N294" i="21"/>
  <c r="M294" i="21"/>
  <c r="N293" i="21"/>
  <c r="M293" i="21"/>
  <c r="M292" i="21"/>
  <c r="N292" i="21" s="1"/>
  <c r="M291" i="21"/>
  <c r="N291" i="21" s="1"/>
  <c r="N290" i="21"/>
  <c r="M290" i="21"/>
  <c r="N289" i="21"/>
  <c r="M289" i="21"/>
  <c r="M288" i="21"/>
  <c r="N288" i="21" s="1"/>
  <c r="M287" i="21"/>
  <c r="N287" i="21" s="1"/>
  <c r="M286" i="21"/>
  <c r="M285" i="21"/>
  <c r="N285" i="21" s="1"/>
  <c r="M284" i="21"/>
  <c r="N284" i="21" s="1"/>
  <c r="N283" i="21"/>
  <c r="M283" i="21"/>
  <c r="M282" i="21"/>
  <c r="N281" i="21"/>
  <c r="M281" i="21"/>
  <c r="N280" i="21"/>
  <c r="M280" i="21"/>
  <c r="M279" i="21"/>
  <c r="N279" i="21" s="1"/>
  <c r="M278" i="21"/>
  <c r="N278" i="21" s="1"/>
  <c r="N277" i="21"/>
  <c r="M277" i="21"/>
  <c r="M276" i="21"/>
  <c r="M275" i="21"/>
  <c r="N275" i="21" s="1"/>
  <c r="N274" i="21"/>
  <c r="M274" i="21"/>
  <c r="N273" i="21"/>
  <c r="M273" i="21"/>
  <c r="M272" i="21"/>
  <c r="N272" i="21" s="1"/>
  <c r="M271" i="21"/>
  <c r="N271" i="21" s="1"/>
  <c r="N270" i="21"/>
  <c r="M270" i="21"/>
  <c r="N269" i="21"/>
  <c r="M269" i="21"/>
  <c r="M268" i="21"/>
  <c r="N268" i="21" s="1"/>
  <c r="M267" i="21"/>
  <c r="N267" i="21" s="1"/>
  <c r="M266" i="21"/>
  <c r="M265" i="21"/>
  <c r="N265" i="21" s="1"/>
  <c r="N264" i="21"/>
  <c r="M264" i="21"/>
  <c r="N263" i="21"/>
  <c r="M263" i="21"/>
  <c r="M262" i="21"/>
  <c r="N262" i="21" s="1"/>
  <c r="M261" i="21"/>
  <c r="N261" i="21" s="1"/>
  <c r="M260" i="21"/>
  <c r="M259" i="21"/>
  <c r="N259" i="21" s="1"/>
  <c r="M258" i="21"/>
  <c r="N258" i="21" s="1"/>
  <c r="N257" i="21"/>
  <c r="M257" i="21"/>
  <c r="N256" i="21"/>
  <c r="M256" i="21"/>
  <c r="M255" i="21"/>
  <c r="N255" i="21" s="1"/>
  <c r="M254" i="21"/>
  <c r="M253" i="21"/>
  <c r="N253" i="21" s="1"/>
  <c r="M252" i="21"/>
  <c r="N252" i="21" s="1"/>
  <c r="M251" i="21"/>
  <c r="M250" i="21"/>
  <c r="N250" i="21" s="1"/>
  <c r="M249" i="21"/>
  <c r="N249" i="21" s="1"/>
  <c r="N248" i="21"/>
  <c r="M248" i="21"/>
  <c r="M247" i="21"/>
  <c r="M246" i="21"/>
  <c r="M245" i="21"/>
  <c r="N245" i="21" s="1"/>
  <c r="M244" i="21"/>
  <c r="N244" i="21" s="1"/>
  <c r="N243" i="21"/>
  <c r="M243" i="21"/>
  <c r="N242" i="21"/>
  <c r="M242" i="21"/>
  <c r="M241" i="21"/>
  <c r="M240" i="21"/>
  <c r="M239" i="21"/>
  <c r="N239" i="21" s="1"/>
  <c r="N238" i="21"/>
  <c r="M238" i="21"/>
  <c r="N237" i="21"/>
  <c r="M237" i="21"/>
  <c r="M236" i="21"/>
  <c r="N236" i="21" s="1"/>
  <c r="M235" i="21"/>
  <c r="N235" i="21" s="1"/>
  <c r="N234" i="21"/>
  <c r="M234" i="21"/>
  <c r="N233" i="21"/>
  <c r="M233" i="21"/>
  <c r="M232" i="21"/>
  <c r="N232" i="21" s="1"/>
  <c r="M231" i="21"/>
  <c r="N231" i="21" s="1"/>
  <c r="M230" i="21"/>
  <c r="M229" i="21"/>
  <c r="N229" i="21" s="1"/>
  <c r="N228" i="21"/>
  <c r="M228" i="21"/>
  <c r="N227" i="21"/>
  <c r="M227" i="21"/>
  <c r="M226" i="21"/>
  <c r="N226" i="21" s="1"/>
  <c r="M225" i="21"/>
  <c r="N225" i="21" s="1"/>
  <c r="M224" i="21"/>
  <c r="M223" i="21"/>
  <c r="N223" i="21" s="1"/>
  <c r="M222" i="21"/>
  <c r="N222" i="21" s="1"/>
  <c r="N221" i="21"/>
  <c r="M221" i="21"/>
  <c r="N220" i="21"/>
  <c r="M220" i="21"/>
  <c r="M219" i="21"/>
  <c r="N219" i="21" s="1"/>
  <c r="M218" i="21"/>
  <c r="N218" i="21" s="1"/>
  <c r="N217" i="21"/>
  <c r="M217" i="21"/>
  <c r="N216" i="21"/>
  <c r="M216" i="21"/>
  <c r="M215" i="21"/>
  <c r="M214" i="21"/>
  <c r="M213" i="21"/>
  <c r="N213" i="21" s="1"/>
  <c r="N212" i="21"/>
  <c r="M212" i="21"/>
  <c r="N211" i="21"/>
  <c r="M211" i="21"/>
  <c r="M210" i="21"/>
  <c r="N210" i="21" s="1"/>
  <c r="M209" i="21"/>
  <c r="N209" i="21" s="1"/>
  <c r="N208" i="21"/>
  <c r="M208" i="21"/>
  <c r="N207" i="21"/>
  <c r="M207" i="21"/>
  <c r="M206" i="21"/>
  <c r="N205" i="21"/>
  <c r="M205" i="21"/>
  <c r="M204" i="21"/>
  <c r="N204" i="21" s="1"/>
  <c r="M203" i="21"/>
  <c r="N203" i="21" s="1"/>
  <c r="N202" i="21"/>
  <c r="M202" i="21"/>
  <c r="M201" i="21"/>
  <c r="M200" i="21"/>
  <c r="M199" i="21"/>
  <c r="M198" i="21"/>
  <c r="M197" i="21"/>
  <c r="N197" i="21" s="1"/>
  <c r="N196" i="21"/>
  <c r="M196" i="21"/>
  <c r="N195" i="21"/>
  <c r="M195" i="21"/>
  <c r="M194" i="21"/>
  <c r="N194" i="21" s="1"/>
  <c r="M193" i="21"/>
  <c r="N192" i="21"/>
  <c r="M192" i="21"/>
  <c r="M191" i="21"/>
  <c r="N191" i="21" s="1"/>
  <c r="M190" i="21"/>
  <c r="N190" i="21" s="1"/>
  <c r="N189" i="21"/>
  <c r="M189" i="21"/>
  <c r="N188" i="21"/>
  <c r="M188" i="21"/>
  <c r="M187" i="21"/>
  <c r="N186" i="21"/>
  <c r="M186" i="21"/>
  <c r="M185" i="21"/>
  <c r="N185" i="21" s="1"/>
  <c r="M184" i="21"/>
  <c r="N184" i="21" s="1"/>
  <c r="N183" i="21"/>
  <c r="M183" i="21"/>
  <c r="N182" i="21"/>
  <c r="M182" i="21"/>
  <c r="M181" i="21"/>
  <c r="N181" i="21" s="1"/>
  <c r="M180" i="21"/>
  <c r="N180" i="21" s="1"/>
  <c r="N179" i="21"/>
  <c r="M179" i="21"/>
  <c r="N178" i="21"/>
  <c r="M178" i="21"/>
  <c r="M177" i="21"/>
  <c r="N177" i="21" s="1"/>
  <c r="M176" i="21"/>
  <c r="N176" i="21" s="1"/>
  <c r="N175" i="21"/>
  <c r="M175" i="21"/>
  <c r="M174" i="21"/>
  <c r="N174" i="21" s="1"/>
  <c r="M173" i="21"/>
  <c r="N173" i="21" s="1"/>
  <c r="M172" i="21"/>
  <c r="N172" i="21" s="1"/>
  <c r="M171" i="21"/>
  <c r="M170" i="21"/>
  <c r="M169" i="21"/>
  <c r="M168" i="21"/>
  <c r="M167" i="21"/>
  <c r="N166" i="21"/>
  <c r="M166" i="21"/>
  <c r="N165" i="21"/>
  <c r="M165" i="21"/>
  <c r="M164" i="21"/>
  <c r="N164" i="21" s="1"/>
  <c r="M163" i="21"/>
  <c r="M162" i="21"/>
  <c r="N162" i="21" s="1"/>
  <c r="M161" i="21"/>
  <c r="N160" i="21"/>
  <c r="M160" i="21"/>
  <c r="M159" i="21"/>
  <c r="N159" i="21" s="1"/>
  <c r="M158" i="21"/>
  <c r="N158" i="21" s="1"/>
  <c r="N157" i="21"/>
  <c r="M157" i="21"/>
  <c r="N156" i="21"/>
  <c r="M156" i="21"/>
  <c r="M155" i="21"/>
  <c r="N155" i="21" s="1"/>
  <c r="M154" i="21"/>
  <c r="N154" i="21" s="1"/>
  <c r="N153" i="21"/>
  <c r="M153" i="21"/>
  <c r="N152" i="21"/>
  <c r="M152" i="21"/>
  <c r="M151" i="21"/>
  <c r="N151" i="21" s="1"/>
  <c r="M150" i="21"/>
  <c r="M149" i="21"/>
  <c r="M148" i="21"/>
  <c r="M147" i="21"/>
  <c r="N147" i="21" s="1"/>
  <c r="N146" i="21"/>
  <c r="M146" i="21"/>
  <c r="N145" i="21"/>
  <c r="M145" i="21"/>
  <c r="M144" i="21"/>
  <c r="N144" i="21" s="1"/>
  <c r="M143" i="21"/>
  <c r="N143" i="21" s="1"/>
  <c r="N142" i="21"/>
  <c r="M142" i="21"/>
  <c r="M141" i="21"/>
  <c r="N141" i="21" s="1"/>
  <c r="M140" i="21"/>
  <c r="N140" i="21" s="1"/>
  <c r="M139" i="21"/>
  <c r="N139" i="21" s="1"/>
  <c r="N138" i="21"/>
  <c r="M138" i="21"/>
  <c r="M137" i="21"/>
  <c r="N137" i="21" s="1"/>
  <c r="M136" i="21"/>
  <c r="N136" i="21" s="1"/>
  <c r="M135" i="21"/>
  <c r="N135" i="21" s="1"/>
  <c r="N134" i="21"/>
  <c r="M134" i="21"/>
  <c r="M133" i="21"/>
  <c r="N133" i="21" s="1"/>
  <c r="M132" i="21"/>
  <c r="N132" i="21" s="1"/>
  <c r="M131" i="21"/>
  <c r="N131" i="21" s="1"/>
  <c r="N130" i="21"/>
  <c r="M130" i="21"/>
  <c r="M129" i="21"/>
  <c r="N129" i="21" s="1"/>
  <c r="M128" i="21"/>
  <c r="N128" i="21" s="1"/>
  <c r="M127" i="21"/>
  <c r="N127" i="21" s="1"/>
  <c r="N126" i="21"/>
  <c r="M126" i="21"/>
  <c r="M125" i="21"/>
  <c r="N125" i="21" s="1"/>
  <c r="M124" i="21"/>
  <c r="N124" i="21" s="1"/>
  <c r="M123" i="21"/>
  <c r="N123" i="21" s="1"/>
  <c r="N122" i="21"/>
  <c r="M122" i="21"/>
  <c r="M121" i="21"/>
  <c r="M120" i="21"/>
  <c r="N120" i="21" s="1"/>
  <c r="M119" i="21"/>
  <c r="M118" i="21"/>
  <c r="N118" i="21" s="1"/>
  <c r="N117" i="21"/>
  <c r="M117" i="21"/>
  <c r="M116" i="21"/>
  <c r="N116" i="21" s="1"/>
  <c r="M115" i="21"/>
  <c r="N115" i="21" s="1"/>
  <c r="M114" i="21"/>
  <c r="N114" i="21" s="1"/>
  <c r="N113" i="21"/>
  <c r="M113" i="21"/>
  <c r="M112" i="21"/>
  <c r="M111" i="21"/>
  <c r="M110" i="21"/>
  <c r="N109" i="21"/>
  <c r="M109" i="21"/>
  <c r="M108" i="21"/>
  <c r="M107" i="21"/>
  <c r="M106" i="21"/>
  <c r="M105" i="21"/>
  <c r="M104" i="21"/>
  <c r="M103" i="21"/>
  <c r="N103" i="21" s="1"/>
  <c r="M102" i="21"/>
  <c r="N102" i="21" s="1"/>
  <c r="N101" i="21"/>
  <c r="M101" i="21"/>
  <c r="M100" i="21"/>
  <c r="M99" i="21"/>
  <c r="M98" i="21"/>
  <c r="M97" i="21"/>
  <c r="M96" i="21"/>
  <c r="N95" i="21"/>
  <c r="M95" i="21"/>
  <c r="M94" i="21"/>
  <c r="N94" i="21" s="1"/>
  <c r="M93" i="21"/>
  <c r="M92" i="21"/>
  <c r="N92" i="21" s="1"/>
  <c r="M91" i="21"/>
  <c r="N91" i="21" s="1"/>
  <c r="N90" i="21"/>
  <c r="M90" i="21"/>
  <c r="M89" i="21"/>
  <c r="N89" i="21" s="1"/>
  <c r="M88" i="21"/>
  <c r="N87" i="21"/>
  <c r="M87" i="21"/>
  <c r="N86" i="21"/>
  <c r="M86" i="21"/>
  <c r="M85" i="21"/>
  <c r="N85" i="21" s="1"/>
  <c r="M84" i="21"/>
  <c r="N84" i="21" s="1"/>
  <c r="M83" i="21"/>
  <c r="M82" i="21"/>
  <c r="N81" i="21"/>
  <c r="M81" i="21"/>
  <c r="M80" i="21"/>
  <c r="M79" i="21"/>
  <c r="N79" i="21" s="1"/>
  <c r="M78" i="21"/>
  <c r="M77" i="21"/>
  <c r="M76" i="21"/>
  <c r="M75" i="21"/>
  <c r="M74" i="21"/>
  <c r="M73" i="21"/>
  <c r="N73" i="21" s="1"/>
  <c r="M72" i="21"/>
  <c r="N72" i="21" s="1"/>
  <c r="N71" i="21"/>
  <c r="M71" i="21"/>
  <c r="N70" i="21"/>
  <c r="M70" i="21"/>
  <c r="M69" i="21"/>
  <c r="N69" i="21" s="1"/>
  <c r="M68" i="21"/>
  <c r="N68" i="21" s="1"/>
  <c r="N67" i="21"/>
  <c r="M67" i="21"/>
  <c r="N66" i="21"/>
  <c r="M66" i="21"/>
  <c r="M65" i="21"/>
  <c r="M64" i="21"/>
  <c r="N64" i="21" s="1"/>
  <c r="M63" i="21"/>
  <c r="N63" i="21" s="1"/>
  <c r="M62" i="21"/>
  <c r="N62" i="21" s="1"/>
  <c r="N61" i="21"/>
  <c r="M61" i="21"/>
  <c r="M60" i="21"/>
  <c r="N60" i="21" s="1"/>
  <c r="M59" i="21"/>
  <c r="N59" i="21" s="1"/>
  <c r="M58" i="21"/>
  <c r="N58" i="21" s="1"/>
  <c r="M57" i="21"/>
  <c r="M56" i="21"/>
  <c r="N56" i="21" s="1"/>
  <c r="M55" i="21"/>
  <c r="N55" i="21" s="1"/>
  <c r="N54" i="21"/>
  <c r="M54" i="21"/>
  <c r="N53" i="21"/>
  <c r="M53" i="21"/>
  <c r="M52" i="21"/>
  <c r="N52" i="21" s="1"/>
  <c r="M51" i="21"/>
  <c r="N51" i="21" s="1"/>
  <c r="N50" i="21"/>
  <c r="M50" i="21"/>
  <c r="N49" i="21"/>
  <c r="M49" i="21"/>
  <c r="M48" i="21"/>
  <c r="N48" i="21" s="1"/>
  <c r="M47" i="21"/>
  <c r="M46" i="21"/>
  <c r="N46" i="21" s="1"/>
  <c r="M45" i="21"/>
  <c r="N45" i="21" s="1"/>
  <c r="N44" i="21"/>
  <c r="M44" i="21"/>
  <c r="M43" i="21"/>
  <c r="N43" i="21" s="1"/>
  <c r="M42" i="21"/>
  <c r="N42" i="21" s="1"/>
  <c r="M41" i="21"/>
  <c r="N41" i="21" s="1"/>
  <c r="N40" i="21"/>
  <c r="M40" i="21"/>
  <c r="M39" i="21"/>
  <c r="M38" i="21"/>
  <c r="N38" i="21" s="1"/>
  <c r="N37" i="21"/>
  <c r="M37" i="21"/>
  <c r="M36" i="21"/>
  <c r="M35" i="21"/>
  <c r="M34" i="21"/>
  <c r="M33" i="21"/>
  <c r="N33" i="21" s="1"/>
  <c r="M32" i="21"/>
  <c r="N32" i="21" s="1"/>
  <c r="M31" i="21"/>
  <c r="N31" i="21" s="1"/>
  <c r="N30" i="21"/>
  <c r="M30" i="21"/>
  <c r="M29" i="21"/>
  <c r="N29" i="21" s="1"/>
  <c r="M28" i="21"/>
  <c r="N28" i="21" s="1"/>
  <c r="M27" i="21"/>
  <c r="N27" i="21" s="1"/>
  <c r="N26" i="21"/>
  <c r="M26" i="21"/>
  <c r="M25" i="21"/>
  <c r="N25" i="21" s="1"/>
  <c r="M24" i="21"/>
  <c r="N24" i="21" s="1"/>
  <c r="M23" i="21"/>
  <c r="N23" i="21" s="1"/>
  <c r="N22" i="21"/>
  <c r="M22" i="21"/>
  <c r="M21" i="21"/>
  <c r="N21" i="21" s="1"/>
  <c r="M20" i="21"/>
  <c r="N20" i="21" s="1"/>
  <c r="M19" i="21"/>
  <c r="N19" i="21" s="1"/>
  <c r="N18" i="21"/>
  <c r="M18" i="21"/>
  <c r="M17" i="21"/>
  <c r="M16" i="21"/>
  <c r="N16" i="21" s="1"/>
  <c r="N15" i="21"/>
  <c r="M15" i="21"/>
  <c r="N14" i="21"/>
  <c r="M14" i="21"/>
  <c r="M13" i="21"/>
  <c r="N13" i="21" s="1"/>
  <c r="M12" i="21"/>
  <c r="N12" i="21" s="1"/>
  <c r="M11" i="21"/>
  <c r="M10" i="21"/>
  <c r="N10" i="21" s="1"/>
  <c r="N9" i="21"/>
  <c r="M9" i="21"/>
  <c r="M8" i="21"/>
  <c r="N8" i="21" s="1"/>
  <c r="M7" i="21"/>
  <c r="M6" i="21"/>
  <c r="M5" i="21"/>
  <c r="N5" i="21" s="1"/>
  <c r="N4" i="21"/>
  <c r="M4" i="21"/>
  <c r="M3" i="21"/>
  <c r="N3" i="21" s="1"/>
  <c r="M2" i="21"/>
  <c r="N2" i="21" s="1"/>
  <c r="M71" i="13"/>
  <c r="N71" i="13" s="1"/>
  <c r="N57" i="13"/>
  <c r="M57" i="13"/>
  <c r="I57" i="13"/>
  <c r="H57" i="13"/>
  <c r="G57" i="13"/>
  <c r="F57" i="13"/>
  <c r="E57" i="13"/>
  <c r="D57" i="13"/>
  <c r="C57" i="13"/>
  <c r="B57" i="13"/>
  <c r="A57" i="13"/>
  <c r="N56" i="13"/>
  <c r="M56" i="13"/>
  <c r="I56" i="13"/>
  <c r="H56" i="13"/>
  <c r="G56" i="13"/>
  <c r="F56" i="13"/>
  <c r="E56" i="13"/>
  <c r="D56" i="13"/>
  <c r="C56" i="13"/>
  <c r="B56" i="13"/>
  <c r="A56" i="13"/>
  <c r="N55" i="13"/>
  <c r="M55" i="13"/>
  <c r="I55" i="13"/>
  <c r="H55" i="13"/>
  <c r="G55" i="13"/>
  <c r="F55" i="13"/>
  <c r="E55" i="13"/>
  <c r="D55" i="13"/>
  <c r="C55" i="13"/>
  <c r="B55" i="13"/>
  <c r="A55" i="13"/>
  <c r="N54" i="13"/>
  <c r="M54" i="13"/>
  <c r="I54" i="13"/>
  <c r="H54" i="13"/>
  <c r="G54" i="13"/>
  <c r="F54" i="13"/>
  <c r="E54" i="13"/>
  <c r="D54" i="13"/>
  <c r="C54" i="13"/>
  <c r="B54" i="13"/>
  <c r="A54" i="13"/>
  <c r="N53" i="13"/>
  <c r="M53" i="13"/>
  <c r="I53" i="13"/>
  <c r="H53" i="13"/>
  <c r="G53" i="13"/>
  <c r="F53" i="13"/>
  <c r="E53" i="13"/>
  <c r="D53" i="13"/>
  <c r="C53" i="13"/>
  <c r="B53" i="13"/>
  <c r="A53" i="13"/>
  <c r="N52" i="13"/>
  <c r="M52" i="13"/>
  <c r="I52" i="13"/>
  <c r="H52" i="13"/>
  <c r="G52" i="13"/>
  <c r="F52" i="13"/>
  <c r="E52" i="13"/>
  <c r="D52" i="13"/>
  <c r="C52" i="13"/>
  <c r="B52" i="13"/>
  <c r="A52" i="13"/>
  <c r="N51" i="13"/>
  <c r="M51" i="13"/>
  <c r="I51" i="13"/>
  <c r="H51" i="13"/>
  <c r="G51" i="13"/>
  <c r="F51" i="13"/>
  <c r="E51" i="13"/>
  <c r="D51" i="13"/>
  <c r="C51" i="13"/>
  <c r="B51" i="13"/>
  <c r="A51" i="13"/>
  <c r="N50" i="13"/>
  <c r="M50" i="13"/>
  <c r="I50" i="13"/>
  <c r="H50" i="13"/>
  <c r="G50" i="13"/>
  <c r="F50" i="13"/>
  <c r="E50" i="13"/>
  <c r="D50" i="13"/>
  <c r="C50" i="13"/>
  <c r="B50" i="13"/>
  <c r="A50" i="13"/>
  <c r="M49" i="13"/>
  <c r="I49" i="13"/>
  <c r="H49" i="13"/>
  <c r="G49" i="13"/>
  <c r="F49" i="13"/>
  <c r="E49" i="13"/>
  <c r="D49" i="13"/>
  <c r="C49" i="13"/>
  <c r="B49" i="13"/>
  <c r="A49" i="13"/>
  <c r="N48" i="13"/>
  <c r="M48" i="13"/>
  <c r="I48" i="13"/>
  <c r="H48" i="13"/>
  <c r="G48" i="13"/>
  <c r="F48" i="13"/>
  <c r="E48" i="13"/>
  <c r="D48" i="13"/>
  <c r="C48" i="13"/>
  <c r="B48" i="13"/>
  <c r="A48" i="13"/>
  <c r="N47" i="13"/>
  <c r="M47" i="13"/>
  <c r="I47" i="13"/>
  <c r="H47" i="13"/>
  <c r="G47" i="13"/>
  <c r="F47" i="13"/>
  <c r="E47" i="13"/>
  <c r="D47" i="13"/>
  <c r="C47" i="13"/>
  <c r="B47" i="13"/>
  <c r="A47" i="13"/>
  <c r="M46" i="13"/>
  <c r="I46" i="13"/>
  <c r="H46" i="13"/>
  <c r="G46" i="13"/>
  <c r="F46" i="13"/>
  <c r="E46" i="13"/>
  <c r="D46" i="13"/>
  <c r="C46" i="13"/>
  <c r="B46" i="13"/>
  <c r="A46" i="13"/>
  <c r="N45" i="13"/>
  <c r="M45" i="13"/>
  <c r="I45" i="13"/>
  <c r="H45" i="13"/>
  <c r="G45" i="13"/>
  <c r="F45" i="13"/>
  <c r="E45" i="13"/>
  <c r="D45" i="13"/>
  <c r="C45" i="13"/>
  <c r="B45" i="13"/>
  <c r="A45" i="13"/>
  <c r="N44" i="13"/>
  <c r="M44" i="13"/>
  <c r="I44" i="13"/>
  <c r="H44" i="13"/>
  <c r="G44" i="13"/>
  <c r="F44" i="13"/>
  <c r="E44" i="13"/>
  <c r="D44" i="13"/>
  <c r="C44" i="13"/>
  <c r="B44" i="13"/>
  <c r="A44" i="13"/>
  <c r="N43" i="13"/>
  <c r="M43" i="13"/>
  <c r="I43" i="13"/>
  <c r="H43" i="13"/>
  <c r="G43" i="13"/>
  <c r="F43" i="13"/>
  <c r="E43" i="13"/>
  <c r="D43" i="13"/>
  <c r="C43" i="13"/>
  <c r="B43" i="13"/>
  <c r="A43" i="13"/>
  <c r="M42" i="13"/>
  <c r="I42" i="13"/>
  <c r="H42" i="13"/>
  <c r="G42" i="13"/>
  <c r="F42" i="13"/>
  <c r="E42" i="13"/>
  <c r="D42" i="13"/>
  <c r="C42" i="13"/>
  <c r="B42" i="13"/>
  <c r="A42" i="13"/>
  <c r="N41" i="13"/>
  <c r="M41" i="13"/>
  <c r="I41" i="13"/>
  <c r="H41" i="13"/>
  <c r="G41" i="13"/>
  <c r="F41" i="13"/>
  <c r="E41" i="13"/>
  <c r="D41" i="13"/>
  <c r="C41" i="13"/>
  <c r="B41" i="13"/>
  <c r="A41" i="13"/>
  <c r="N40" i="13"/>
  <c r="M40" i="13"/>
  <c r="I40" i="13"/>
  <c r="H40" i="13"/>
  <c r="G40" i="13"/>
  <c r="F40" i="13"/>
  <c r="E40" i="13"/>
  <c r="D40" i="13"/>
  <c r="C40" i="13"/>
  <c r="B40" i="13"/>
  <c r="A40" i="13"/>
  <c r="N39" i="13"/>
  <c r="M39" i="13"/>
  <c r="I39" i="13"/>
  <c r="H39" i="13"/>
  <c r="G39" i="13"/>
  <c r="F39" i="13"/>
  <c r="E39" i="13"/>
  <c r="D39" i="13"/>
  <c r="C39" i="13"/>
  <c r="B39" i="13"/>
  <c r="A39" i="13"/>
  <c r="N38" i="13"/>
  <c r="M38" i="13"/>
  <c r="I38" i="13"/>
  <c r="H38" i="13"/>
  <c r="G38" i="13"/>
  <c r="F38" i="13"/>
  <c r="E38" i="13"/>
  <c r="D38" i="13"/>
  <c r="C38" i="13"/>
  <c r="B38" i="13"/>
  <c r="A38" i="13"/>
  <c r="N37" i="13"/>
  <c r="M37" i="13"/>
  <c r="I37" i="13"/>
  <c r="H37" i="13"/>
  <c r="G37" i="13"/>
  <c r="F37" i="13"/>
  <c r="E37" i="13"/>
  <c r="D37" i="13"/>
  <c r="C37" i="13"/>
  <c r="B37" i="13"/>
  <c r="A37" i="13"/>
  <c r="N36" i="13"/>
  <c r="M36" i="13"/>
  <c r="I36" i="13"/>
  <c r="H36" i="13"/>
  <c r="G36" i="13"/>
  <c r="F36" i="13"/>
  <c r="E36" i="13"/>
  <c r="D36" i="13"/>
  <c r="C36" i="13"/>
  <c r="B36" i="13"/>
  <c r="A36" i="13"/>
  <c r="M35" i="13"/>
  <c r="I35" i="13"/>
  <c r="H35" i="13"/>
  <c r="G35" i="13"/>
  <c r="F35" i="13"/>
  <c r="E35" i="13"/>
  <c r="D35" i="13"/>
  <c r="C35" i="13"/>
  <c r="B35" i="13"/>
  <c r="A35" i="13"/>
  <c r="N34" i="13"/>
  <c r="M34" i="13"/>
  <c r="I34" i="13"/>
  <c r="H34" i="13"/>
  <c r="G34" i="13"/>
  <c r="F34" i="13"/>
  <c r="E34" i="13"/>
  <c r="D34" i="13"/>
  <c r="C34" i="13"/>
  <c r="B34" i="13"/>
  <c r="A34" i="13"/>
  <c r="N33" i="13"/>
  <c r="M33" i="13"/>
  <c r="I33" i="13"/>
  <c r="H33" i="13"/>
  <c r="G33" i="13"/>
  <c r="F33" i="13"/>
  <c r="E33" i="13"/>
  <c r="D33" i="13"/>
  <c r="C33" i="13"/>
  <c r="B33" i="13"/>
  <c r="A33" i="13"/>
  <c r="N32" i="13"/>
  <c r="M32" i="13"/>
  <c r="I32" i="13"/>
  <c r="H32" i="13"/>
  <c r="G32" i="13"/>
  <c r="F32" i="13"/>
  <c r="E32" i="13"/>
  <c r="D32" i="13"/>
  <c r="C32" i="13"/>
  <c r="B32" i="13"/>
  <c r="A32" i="13"/>
  <c r="N31" i="13"/>
  <c r="M31" i="13"/>
  <c r="I31" i="13"/>
  <c r="H31" i="13"/>
  <c r="G31" i="13"/>
  <c r="F31" i="13"/>
  <c r="E31" i="13"/>
  <c r="D31" i="13"/>
  <c r="C31" i="13"/>
  <c r="B31" i="13"/>
  <c r="A31" i="13"/>
  <c r="M30" i="13"/>
  <c r="I30" i="13"/>
  <c r="H30" i="13"/>
  <c r="G30" i="13"/>
  <c r="F30" i="13"/>
  <c r="E30" i="13"/>
  <c r="D30" i="13"/>
  <c r="C30" i="13"/>
  <c r="B30" i="13"/>
  <c r="A30" i="13"/>
  <c r="M29" i="13"/>
  <c r="I29" i="13"/>
  <c r="H29" i="13"/>
  <c r="G29" i="13"/>
  <c r="F29" i="13"/>
  <c r="E29" i="13"/>
  <c r="D29" i="13"/>
  <c r="C29" i="13"/>
  <c r="B29" i="13"/>
  <c r="A29" i="13"/>
  <c r="N28" i="13"/>
  <c r="M28" i="13"/>
  <c r="I28" i="13"/>
  <c r="H28" i="13"/>
  <c r="G28" i="13"/>
  <c r="F28" i="13"/>
  <c r="E28" i="13"/>
  <c r="D28" i="13"/>
  <c r="C28" i="13"/>
  <c r="B28" i="13"/>
  <c r="A28" i="13"/>
  <c r="N27" i="13"/>
  <c r="M27" i="13"/>
  <c r="I27" i="13"/>
  <c r="H27" i="13"/>
  <c r="G27" i="13"/>
  <c r="F27" i="13"/>
  <c r="E27" i="13"/>
  <c r="D27" i="13"/>
  <c r="C27" i="13"/>
  <c r="B27" i="13"/>
  <c r="A27" i="13"/>
  <c r="N26" i="13"/>
  <c r="M26" i="13"/>
  <c r="I26" i="13"/>
  <c r="H26" i="13"/>
  <c r="G26" i="13"/>
  <c r="F26" i="13"/>
  <c r="E26" i="13"/>
  <c r="D26" i="13"/>
  <c r="C26" i="13"/>
  <c r="B26" i="13"/>
  <c r="A26" i="13"/>
  <c r="N25" i="13"/>
  <c r="M25" i="13"/>
  <c r="I25" i="13"/>
  <c r="H25" i="13"/>
  <c r="G25" i="13"/>
  <c r="F25" i="13"/>
  <c r="E25" i="13"/>
  <c r="D25" i="13"/>
  <c r="C25" i="13"/>
  <c r="B25" i="13"/>
  <c r="A25" i="13"/>
  <c r="N24" i="13"/>
  <c r="M24" i="13"/>
  <c r="I24" i="13"/>
  <c r="H24" i="13"/>
  <c r="G24" i="13"/>
  <c r="F24" i="13"/>
  <c r="E24" i="13"/>
  <c r="D24" i="13"/>
  <c r="C24" i="13"/>
  <c r="B24" i="13"/>
  <c r="A24" i="13"/>
  <c r="N23" i="13"/>
  <c r="M23" i="13"/>
  <c r="I23" i="13"/>
  <c r="H23" i="13"/>
  <c r="G23" i="13"/>
  <c r="F23" i="13"/>
  <c r="E23" i="13"/>
  <c r="D23" i="13"/>
  <c r="C23" i="13"/>
  <c r="B23" i="13"/>
  <c r="A23" i="13"/>
  <c r="N22" i="13"/>
  <c r="M22" i="13"/>
  <c r="I22" i="13"/>
  <c r="H22" i="13"/>
  <c r="G22" i="13"/>
  <c r="F22" i="13"/>
  <c r="E22" i="13"/>
  <c r="D22" i="13"/>
  <c r="C22" i="13"/>
  <c r="B22" i="13"/>
  <c r="A22" i="13"/>
  <c r="N21" i="13"/>
  <c r="M21" i="13"/>
  <c r="I21" i="13"/>
  <c r="H21" i="13"/>
  <c r="G21" i="13"/>
  <c r="F21" i="13"/>
  <c r="E21" i="13"/>
  <c r="D21" i="13"/>
  <c r="C21" i="13"/>
  <c r="B21" i="13"/>
  <c r="A21" i="13"/>
  <c r="N20" i="13"/>
  <c r="M20" i="13"/>
  <c r="I20" i="13"/>
  <c r="H20" i="13"/>
  <c r="G20" i="13"/>
  <c r="F20" i="13"/>
  <c r="E20" i="13"/>
  <c r="D20" i="13"/>
  <c r="C20" i="13"/>
  <c r="B20" i="13"/>
  <c r="A20" i="13"/>
  <c r="M19" i="13"/>
  <c r="I19" i="13"/>
  <c r="H19" i="13"/>
  <c r="G19" i="13"/>
  <c r="F19" i="13"/>
  <c r="E19" i="13"/>
  <c r="D19" i="13"/>
  <c r="C19" i="13"/>
  <c r="B19" i="13"/>
  <c r="A19" i="13"/>
  <c r="M18" i="13"/>
  <c r="I18" i="13"/>
  <c r="H18" i="13"/>
  <c r="G18" i="13"/>
  <c r="F18" i="13"/>
  <c r="E18" i="13"/>
  <c r="D18" i="13"/>
  <c r="C18" i="13"/>
  <c r="B18" i="13"/>
  <c r="A18" i="13"/>
  <c r="M17" i="13"/>
  <c r="I17" i="13"/>
  <c r="H17" i="13"/>
  <c r="G17" i="13"/>
  <c r="F17" i="13"/>
  <c r="E17" i="13"/>
  <c r="D17" i="13"/>
  <c r="C17" i="13"/>
  <c r="B17" i="13"/>
  <c r="A17" i="13"/>
  <c r="N16" i="13"/>
  <c r="M16" i="13"/>
  <c r="I16" i="13"/>
  <c r="H16" i="13"/>
  <c r="G16" i="13"/>
  <c r="F16" i="13"/>
  <c r="E16" i="13"/>
  <c r="D16" i="13"/>
  <c r="C16" i="13"/>
  <c r="B16" i="13"/>
  <c r="A16" i="13"/>
  <c r="N15" i="13"/>
  <c r="M15" i="13"/>
  <c r="I15" i="13"/>
  <c r="H15" i="13"/>
  <c r="G15" i="13"/>
  <c r="F15" i="13"/>
  <c r="E15" i="13"/>
  <c r="D15" i="13"/>
  <c r="C15" i="13"/>
  <c r="B15" i="13"/>
  <c r="A15" i="13"/>
  <c r="N14" i="13"/>
  <c r="M14" i="13"/>
  <c r="I14" i="13"/>
  <c r="H14" i="13"/>
  <c r="G14" i="13"/>
  <c r="F14" i="13"/>
  <c r="E14" i="13"/>
  <c r="D14" i="13"/>
  <c r="C14" i="13"/>
  <c r="B14" i="13"/>
  <c r="A14" i="13"/>
  <c r="N13" i="13"/>
  <c r="M13" i="13"/>
  <c r="I13" i="13"/>
  <c r="H13" i="13"/>
  <c r="G13" i="13"/>
  <c r="F13" i="13"/>
  <c r="E13" i="13"/>
  <c r="D13" i="13"/>
  <c r="C13" i="13"/>
  <c r="B13" i="13"/>
  <c r="A13" i="13"/>
  <c r="N12" i="13"/>
  <c r="M12" i="13"/>
  <c r="I12" i="13"/>
  <c r="H12" i="13"/>
  <c r="G12" i="13"/>
  <c r="F12" i="13"/>
  <c r="E12" i="13"/>
  <c r="D12" i="13"/>
  <c r="C12" i="13"/>
  <c r="B12" i="13"/>
  <c r="A12" i="13"/>
  <c r="N11" i="13"/>
  <c r="M11" i="13"/>
  <c r="I11" i="13"/>
  <c r="H11" i="13"/>
  <c r="G11" i="13"/>
  <c r="F11" i="13"/>
  <c r="E11" i="13"/>
  <c r="D11" i="13"/>
  <c r="C11" i="13"/>
  <c r="B11" i="13"/>
  <c r="A11" i="13"/>
  <c r="N10" i="13"/>
  <c r="M10" i="13"/>
  <c r="I10" i="13"/>
  <c r="H10" i="13"/>
  <c r="G10" i="13"/>
  <c r="F10" i="13"/>
  <c r="E10" i="13"/>
  <c r="D10" i="13"/>
  <c r="C10" i="13"/>
  <c r="B10" i="13"/>
  <c r="A10" i="13"/>
  <c r="N9" i="13"/>
  <c r="M9" i="13"/>
  <c r="I9" i="13"/>
  <c r="H9" i="13"/>
  <c r="G9" i="13"/>
  <c r="F9" i="13"/>
  <c r="E9" i="13"/>
  <c r="D9" i="13"/>
  <c r="C9" i="13"/>
  <c r="B9" i="13"/>
  <c r="A9" i="13"/>
  <c r="N8" i="13"/>
  <c r="M8" i="13"/>
  <c r="I8" i="13"/>
  <c r="H8" i="13"/>
  <c r="G8" i="13"/>
  <c r="F8" i="13"/>
  <c r="E8" i="13"/>
  <c r="D8" i="13"/>
  <c r="C8" i="13"/>
  <c r="B8" i="13"/>
  <c r="A8" i="13"/>
  <c r="N7" i="13"/>
  <c r="M7" i="13"/>
  <c r="I7" i="13"/>
  <c r="H7" i="13"/>
  <c r="G7" i="13"/>
  <c r="F7" i="13"/>
  <c r="E7" i="13"/>
  <c r="D7" i="13"/>
  <c r="C7" i="13"/>
  <c r="B7" i="13"/>
  <c r="A7" i="13"/>
  <c r="N6" i="13"/>
  <c r="M6" i="13"/>
  <c r="I6" i="13"/>
  <c r="H6" i="13"/>
  <c r="G6" i="13"/>
  <c r="F6" i="13"/>
  <c r="E6" i="13"/>
  <c r="D6" i="13"/>
  <c r="C6" i="13"/>
  <c r="B6" i="13"/>
  <c r="A6" i="13"/>
  <c r="N5" i="13"/>
  <c r="M5" i="13"/>
  <c r="I5" i="13"/>
  <c r="H5" i="13"/>
  <c r="G5" i="13"/>
  <c r="F5" i="13"/>
  <c r="E5" i="13"/>
  <c r="D5" i="13"/>
  <c r="C5" i="13"/>
  <c r="B5" i="13"/>
  <c r="A5" i="13"/>
  <c r="N4" i="13"/>
  <c r="M4" i="13"/>
  <c r="I4" i="13"/>
  <c r="H4" i="13"/>
  <c r="G4" i="13"/>
  <c r="F4" i="13"/>
  <c r="E4" i="13"/>
  <c r="D4" i="13"/>
  <c r="C4" i="13"/>
  <c r="B4" i="13"/>
  <c r="A4" i="13"/>
  <c r="N3" i="13"/>
  <c r="M3" i="13"/>
  <c r="I3" i="13"/>
  <c r="H3" i="13"/>
  <c r="G3" i="13"/>
  <c r="F3" i="13"/>
  <c r="E3" i="13"/>
  <c r="D3" i="13"/>
  <c r="C3" i="13"/>
  <c r="B3" i="13"/>
  <c r="A3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N27" i="12"/>
  <c r="M27" i="12"/>
  <c r="I27" i="12"/>
  <c r="H27" i="12"/>
  <c r="G27" i="12"/>
  <c r="F27" i="12"/>
  <c r="E27" i="12"/>
  <c r="D27" i="12"/>
  <c r="C27" i="12"/>
  <c r="B27" i="12"/>
  <c r="A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N45" i="11"/>
  <c r="M45" i="11"/>
  <c r="I45" i="11"/>
  <c r="H45" i="11"/>
  <c r="G45" i="11"/>
  <c r="F45" i="11"/>
  <c r="E45" i="11"/>
  <c r="D45" i="11"/>
  <c r="C45" i="11"/>
  <c r="B45" i="11"/>
  <c r="A45" i="11"/>
  <c r="N44" i="11"/>
  <c r="M44" i="11"/>
  <c r="I44" i="11"/>
  <c r="H44" i="11"/>
  <c r="G44" i="11"/>
  <c r="F44" i="11"/>
  <c r="E44" i="11"/>
  <c r="D44" i="11"/>
  <c r="C44" i="11"/>
  <c r="B44" i="11"/>
  <c r="A44" i="11"/>
  <c r="N43" i="11"/>
  <c r="M43" i="11"/>
  <c r="I43" i="11"/>
  <c r="H43" i="11"/>
  <c r="G43" i="11"/>
  <c r="F43" i="11"/>
  <c r="E43" i="11"/>
  <c r="D43" i="11"/>
  <c r="C43" i="11"/>
  <c r="B43" i="11"/>
  <c r="A43" i="11"/>
  <c r="N42" i="11"/>
  <c r="M42" i="11"/>
  <c r="I42" i="11"/>
  <c r="H42" i="11"/>
  <c r="G42" i="11"/>
  <c r="F42" i="11"/>
  <c r="E42" i="11"/>
  <c r="D42" i="11"/>
  <c r="C42" i="11"/>
  <c r="B42" i="11"/>
  <c r="A42" i="11"/>
  <c r="N41" i="11"/>
  <c r="M41" i="11"/>
  <c r="I41" i="11"/>
  <c r="H41" i="11"/>
  <c r="G41" i="11"/>
  <c r="F41" i="11"/>
  <c r="E41" i="11"/>
  <c r="D41" i="11"/>
  <c r="C41" i="11"/>
  <c r="B41" i="11"/>
  <c r="A41" i="11"/>
  <c r="M40" i="11"/>
  <c r="I40" i="11"/>
  <c r="H40" i="11"/>
  <c r="G40" i="11"/>
  <c r="F40" i="11"/>
  <c r="E40" i="11"/>
  <c r="D40" i="11"/>
  <c r="C40" i="11"/>
  <c r="B40" i="11"/>
  <c r="A40" i="11"/>
  <c r="M39" i="11"/>
  <c r="I39" i="11"/>
  <c r="H39" i="11"/>
  <c r="G39" i="11"/>
  <c r="F39" i="11"/>
  <c r="E39" i="11"/>
  <c r="D39" i="11"/>
  <c r="C39" i="11"/>
  <c r="B39" i="11"/>
  <c r="A39" i="11"/>
  <c r="N38" i="11"/>
  <c r="M38" i="11"/>
  <c r="I38" i="11"/>
  <c r="H38" i="11"/>
  <c r="G38" i="11"/>
  <c r="F38" i="11"/>
  <c r="E38" i="11"/>
  <c r="D38" i="11"/>
  <c r="C38" i="11"/>
  <c r="B38" i="11"/>
  <c r="A38" i="11"/>
  <c r="N37" i="11"/>
  <c r="M37" i="11"/>
  <c r="I37" i="11"/>
  <c r="H37" i="11"/>
  <c r="G37" i="11"/>
  <c r="F37" i="11"/>
  <c r="E37" i="11"/>
  <c r="D37" i="11"/>
  <c r="C37" i="11"/>
  <c r="B37" i="11"/>
  <c r="A37" i="11"/>
  <c r="N36" i="11"/>
  <c r="M36" i="11"/>
  <c r="I36" i="11"/>
  <c r="H36" i="11"/>
  <c r="G36" i="11"/>
  <c r="F36" i="11"/>
  <c r="E36" i="11"/>
  <c r="D36" i="11"/>
  <c r="C36" i="11"/>
  <c r="B36" i="11"/>
  <c r="A36" i="11"/>
  <c r="N35" i="11"/>
  <c r="M35" i="11"/>
  <c r="I35" i="11"/>
  <c r="H35" i="11"/>
  <c r="G35" i="11"/>
  <c r="F35" i="11"/>
  <c r="E35" i="11"/>
  <c r="D35" i="11"/>
  <c r="C35" i="11"/>
  <c r="B35" i="11"/>
  <c r="A35" i="11"/>
  <c r="N34" i="11"/>
  <c r="M34" i="11"/>
  <c r="I34" i="11"/>
  <c r="H34" i="11"/>
  <c r="G34" i="11"/>
  <c r="F34" i="11"/>
  <c r="E34" i="11"/>
  <c r="D34" i="11"/>
  <c r="C34" i="11"/>
  <c r="B34" i="11"/>
  <c r="A34" i="11"/>
  <c r="M33" i="11"/>
  <c r="I33" i="11"/>
  <c r="H33" i="11"/>
  <c r="G33" i="11"/>
  <c r="F33" i="11"/>
  <c r="E33" i="11"/>
  <c r="D33" i="11"/>
  <c r="C33" i="11"/>
  <c r="B33" i="11"/>
  <c r="A33" i="11"/>
  <c r="N32" i="11"/>
  <c r="M32" i="11"/>
  <c r="I32" i="11"/>
  <c r="H32" i="11"/>
  <c r="G32" i="11"/>
  <c r="F32" i="11"/>
  <c r="E32" i="11"/>
  <c r="D32" i="11"/>
  <c r="C32" i="11"/>
  <c r="B32" i="11"/>
  <c r="A32" i="11"/>
  <c r="M31" i="11"/>
  <c r="I31" i="11"/>
  <c r="H31" i="11"/>
  <c r="G31" i="11"/>
  <c r="F31" i="11"/>
  <c r="E31" i="11"/>
  <c r="D31" i="11"/>
  <c r="C31" i="11"/>
  <c r="B31" i="11"/>
  <c r="A31" i="11"/>
  <c r="N30" i="11"/>
  <c r="M30" i="11"/>
  <c r="I30" i="11"/>
  <c r="H30" i="11"/>
  <c r="G30" i="11"/>
  <c r="F30" i="11"/>
  <c r="E30" i="11"/>
  <c r="D30" i="11"/>
  <c r="C30" i="11"/>
  <c r="B30" i="11"/>
  <c r="A30" i="11"/>
  <c r="N29" i="11"/>
  <c r="M29" i="11"/>
  <c r="I29" i="11"/>
  <c r="H29" i="11"/>
  <c r="G29" i="11"/>
  <c r="F29" i="11"/>
  <c r="E29" i="11"/>
  <c r="D29" i="11"/>
  <c r="C29" i="11"/>
  <c r="B29" i="11"/>
  <c r="A29" i="11"/>
  <c r="N28" i="11"/>
  <c r="M28" i="11"/>
  <c r="I28" i="11"/>
  <c r="H28" i="11"/>
  <c r="G28" i="11"/>
  <c r="F28" i="11"/>
  <c r="E28" i="11"/>
  <c r="D28" i="11"/>
  <c r="C28" i="11"/>
  <c r="B28" i="11"/>
  <c r="A28" i="11"/>
  <c r="N27" i="11"/>
  <c r="M27" i="11"/>
  <c r="I27" i="11"/>
  <c r="H27" i="11"/>
  <c r="G27" i="11"/>
  <c r="F27" i="11"/>
  <c r="E27" i="11"/>
  <c r="D27" i="11"/>
  <c r="C27" i="11"/>
  <c r="B27" i="11"/>
  <c r="A27" i="11"/>
  <c r="N26" i="11"/>
  <c r="M26" i="11"/>
  <c r="I26" i="11"/>
  <c r="H26" i="11"/>
  <c r="G26" i="11"/>
  <c r="F26" i="11"/>
  <c r="E26" i="11"/>
  <c r="D26" i="11"/>
  <c r="C26" i="11"/>
  <c r="B26" i="11"/>
  <c r="A26" i="11"/>
  <c r="N25" i="11"/>
  <c r="M25" i="11"/>
  <c r="I25" i="11"/>
  <c r="H25" i="11"/>
  <c r="G25" i="11"/>
  <c r="F25" i="11"/>
  <c r="E25" i="11"/>
  <c r="D25" i="11"/>
  <c r="C25" i="11"/>
  <c r="B25" i="11"/>
  <c r="A25" i="11"/>
  <c r="N24" i="11"/>
  <c r="M24" i="11"/>
  <c r="I24" i="11"/>
  <c r="H24" i="11"/>
  <c r="G24" i="11"/>
  <c r="F24" i="11"/>
  <c r="E24" i="11"/>
  <c r="D24" i="11"/>
  <c r="C24" i="11"/>
  <c r="B24" i="11"/>
  <c r="A24" i="11"/>
  <c r="N23" i="11"/>
  <c r="M23" i="11"/>
  <c r="I23" i="11"/>
  <c r="H23" i="11"/>
  <c r="G23" i="11"/>
  <c r="F23" i="11"/>
  <c r="E23" i="11"/>
  <c r="D23" i="11"/>
  <c r="C23" i="11"/>
  <c r="B23" i="11"/>
  <c r="A23" i="11"/>
  <c r="N22" i="11"/>
  <c r="M22" i="11"/>
  <c r="I22" i="11"/>
  <c r="H22" i="11"/>
  <c r="G22" i="11"/>
  <c r="F22" i="11"/>
  <c r="E22" i="11"/>
  <c r="D22" i="11"/>
  <c r="C22" i="11"/>
  <c r="B22" i="11"/>
  <c r="A22" i="11"/>
  <c r="M21" i="11"/>
  <c r="I21" i="11"/>
  <c r="H21" i="11"/>
  <c r="G21" i="11"/>
  <c r="F21" i="11"/>
  <c r="E21" i="11"/>
  <c r="D21" i="11"/>
  <c r="C21" i="11"/>
  <c r="B21" i="11"/>
  <c r="A21" i="11"/>
  <c r="N20" i="11"/>
  <c r="M20" i="11"/>
  <c r="I20" i="11"/>
  <c r="H20" i="11"/>
  <c r="G20" i="11"/>
  <c r="F20" i="11"/>
  <c r="E20" i="11"/>
  <c r="D20" i="11"/>
  <c r="C20" i="11"/>
  <c r="B20" i="11"/>
  <c r="A20" i="11"/>
  <c r="N19" i="11"/>
  <c r="M19" i="11"/>
  <c r="I19" i="11"/>
  <c r="H19" i="11"/>
  <c r="G19" i="11"/>
  <c r="F19" i="11"/>
  <c r="E19" i="11"/>
  <c r="D19" i="11"/>
  <c r="C19" i="11"/>
  <c r="B19" i="11"/>
  <c r="A19" i="11"/>
  <c r="N18" i="11"/>
  <c r="M18" i="11"/>
  <c r="I18" i="11"/>
  <c r="H18" i="11"/>
  <c r="G18" i="11"/>
  <c r="F18" i="11"/>
  <c r="E18" i="11"/>
  <c r="D18" i="11"/>
  <c r="C18" i="11"/>
  <c r="B18" i="11"/>
  <c r="A18" i="11"/>
  <c r="N17" i="11"/>
  <c r="M17" i="11"/>
  <c r="I17" i="11"/>
  <c r="H17" i="11"/>
  <c r="G17" i="11"/>
  <c r="F17" i="11"/>
  <c r="E17" i="11"/>
  <c r="D17" i="11"/>
  <c r="C17" i="11"/>
  <c r="B17" i="11"/>
  <c r="A17" i="11"/>
  <c r="M16" i="11"/>
  <c r="I16" i="11"/>
  <c r="H16" i="11"/>
  <c r="G16" i="11"/>
  <c r="F16" i="11"/>
  <c r="E16" i="11"/>
  <c r="D16" i="11"/>
  <c r="C16" i="11"/>
  <c r="B16" i="11"/>
  <c r="A16" i="11"/>
  <c r="N15" i="11"/>
  <c r="M15" i="11"/>
  <c r="I15" i="11"/>
  <c r="H15" i="11"/>
  <c r="G15" i="11"/>
  <c r="F15" i="11"/>
  <c r="E15" i="11"/>
  <c r="D15" i="11"/>
  <c r="C15" i="11"/>
  <c r="B15" i="11"/>
  <c r="A15" i="11"/>
  <c r="M14" i="11"/>
  <c r="I14" i="11"/>
  <c r="H14" i="11"/>
  <c r="G14" i="11"/>
  <c r="F14" i="11"/>
  <c r="E14" i="11"/>
  <c r="D14" i="11"/>
  <c r="C14" i="11"/>
  <c r="B14" i="11"/>
  <c r="A14" i="11"/>
  <c r="N13" i="11"/>
  <c r="M13" i="11"/>
  <c r="I13" i="11"/>
  <c r="H13" i="11"/>
  <c r="G13" i="11"/>
  <c r="F13" i="11"/>
  <c r="E13" i="11"/>
  <c r="D13" i="11"/>
  <c r="C13" i="11"/>
  <c r="B13" i="11"/>
  <c r="A13" i="11"/>
  <c r="N12" i="11"/>
  <c r="M12" i="11"/>
  <c r="I12" i="11"/>
  <c r="H12" i="11"/>
  <c r="G12" i="11"/>
  <c r="F12" i="11"/>
  <c r="E12" i="11"/>
  <c r="D12" i="11"/>
  <c r="C12" i="11"/>
  <c r="B12" i="11"/>
  <c r="A12" i="11"/>
  <c r="M11" i="11"/>
  <c r="I11" i="11"/>
  <c r="H11" i="11"/>
  <c r="G11" i="11"/>
  <c r="F11" i="11"/>
  <c r="E11" i="11"/>
  <c r="D11" i="11"/>
  <c r="C11" i="11"/>
  <c r="B11" i="11"/>
  <c r="A11" i="11"/>
  <c r="N10" i="11"/>
  <c r="M10" i="11"/>
  <c r="I10" i="11"/>
  <c r="H10" i="11"/>
  <c r="G10" i="11"/>
  <c r="F10" i="11"/>
  <c r="E10" i="11"/>
  <c r="D10" i="11"/>
  <c r="C10" i="11"/>
  <c r="B10" i="11"/>
  <c r="A10" i="11"/>
  <c r="M9" i="11"/>
  <c r="I9" i="11"/>
  <c r="H9" i="11"/>
  <c r="G9" i="11"/>
  <c r="F9" i="11"/>
  <c r="E9" i="11"/>
  <c r="D9" i="11"/>
  <c r="C9" i="11"/>
  <c r="B9" i="11"/>
  <c r="A9" i="11"/>
  <c r="N8" i="11"/>
  <c r="M8" i="11"/>
  <c r="I8" i="11"/>
  <c r="H8" i="11"/>
  <c r="G8" i="11"/>
  <c r="F8" i="11"/>
  <c r="E8" i="11"/>
  <c r="D8" i="11"/>
  <c r="C8" i="11"/>
  <c r="B8" i="11"/>
  <c r="A8" i="11"/>
  <c r="M7" i="11"/>
  <c r="I7" i="11"/>
  <c r="H7" i="11"/>
  <c r="G7" i="11"/>
  <c r="F7" i="11"/>
  <c r="E7" i="11"/>
  <c r="D7" i="11"/>
  <c r="C7" i="11"/>
  <c r="B7" i="11"/>
  <c r="A7" i="11"/>
  <c r="N6" i="11"/>
  <c r="M6" i="11"/>
  <c r="I6" i="11"/>
  <c r="H6" i="11"/>
  <c r="G6" i="11"/>
  <c r="F6" i="11"/>
  <c r="E6" i="11"/>
  <c r="D6" i="11"/>
  <c r="C6" i="11"/>
  <c r="B6" i="11"/>
  <c r="A6" i="11"/>
  <c r="N5" i="11"/>
  <c r="M5" i="11"/>
  <c r="I5" i="11"/>
  <c r="H5" i="11"/>
  <c r="G5" i="11"/>
  <c r="F5" i="11"/>
  <c r="E5" i="11"/>
  <c r="D5" i="11"/>
  <c r="C5" i="11"/>
  <c r="B5" i="11"/>
  <c r="A5" i="11"/>
  <c r="M4" i="11"/>
  <c r="I4" i="11"/>
  <c r="H4" i="11"/>
  <c r="G4" i="11"/>
  <c r="F4" i="11"/>
  <c r="E4" i="11"/>
  <c r="D4" i="11"/>
  <c r="C4" i="11"/>
  <c r="B4" i="11"/>
  <c r="A4" i="11"/>
  <c r="M3" i="11"/>
  <c r="I3" i="11"/>
  <c r="H3" i="11"/>
  <c r="G3" i="11"/>
  <c r="F3" i="11"/>
  <c r="E3" i="11"/>
  <c r="D3" i="11"/>
  <c r="C3" i="11"/>
  <c r="B3" i="11"/>
  <c r="A3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A2" i="11"/>
  <c r="N88" i="10"/>
  <c r="M88" i="10"/>
  <c r="I88" i="10"/>
  <c r="H88" i="10"/>
  <c r="G88" i="10"/>
  <c r="F88" i="10"/>
  <c r="E88" i="10"/>
  <c r="D88" i="10"/>
  <c r="C88" i="10"/>
  <c r="B88" i="10"/>
  <c r="A88" i="10"/>
  <c r="N87" i="10"/>
  <c r="M87" i="10"/>
  <c r="I87" i="10"/>
  <c r="H87" i="10"/>
  <c r="G87" i="10"/>
  <c r="F87" i="10"/>
  <c r="E87" i="10"/>
  <c r="D87" i="10"/>
  <c r="C87" i="10"/>
  <c r="B87" i="10"/>
  <c r="A87" i="10"/>
  <c r="N86" i="10"/>
  <c r="M86" i="10"/>
  <c r="I86" i="10"/>
  <c r="H86" i="10"/>
  <c r="G86" i="10"/>
  <c r="F86" i="10"/>
  <c r="E86" i="10"/>
  <c r="D86" i="10"/>
  <c r="C86" i="10"/>
  <c r="B86" i="10"/>
  <c r="A86" i="10"/>
  <c r="N85" i="10"/>
  <c r="M85" i="10"/>
  <c r="I85" i="10"/>
  <c r="H85" i="10"/>
  <c r="G85" i="10"/>
  <c r="F85" i="10"/>
  <c r="E85" i="10"/>
  <c r="D85" i="10"/>
  <c r="C85" i="10"/>
  <c r="B85" i="10"/>
  <c r="A85" i="10"/>
  <c r="N84" i="10"/>
  <c r="M84" i="10"/>
  <c r="I84" i="10"/>
  <c r="H84" i="10"/>
  <c r="G84" i="10"/>
  <c r="F84" i="10"/>
  <c r="E84" i="10"/>
  <c r="D84" i="10"/>
  <c r="C84" i="10"/>
  <c r="B84" i="10"/>
  <c r="A84" i="10"/>
  <c r="N83" i="10"/>
  <c r="M83" i="10"/>
  <c r="I83" i="10"/>
  <c r="H83" i="10"/>
  <c r="G83" i="10"/>
  <c r="F83" i="10"/>
  <c r="E83" i="10"/>
  <c r="D83" i="10"/>
  <c r="C83" i="10"/>
  <c r="B83" i="10"/>
  <c r="A83" i="10"/>
  <c r="N82" i="10"/>
  <c r="M82" i="10"/>
  <c r="I82" i="10"/>
  <c r="H82" i="10"/>
  <c r="G82" i="10"/>
  <c r="F82" i="10"/>
  <c r="E82" i="10"/>
  <c r="D82" i="10"/>
  <c r="C82" i="10"/>
  <c r="B82" i="10"/>
  <c r="A82" i="10"/>
  <c r="N81" i="10"/>
  <c r="M81" i="10"/>
  <c r="I81" i="10"/>
  <c r="H81" i="10"/>
  <c r="G81" i="10"/>
  <c r="F81" i="10"/>
  <c r="E81" i="10"/>
  <c r="D81" i="10"/>
  <c r="C81" i="10"/>
  <c r="B81" i="10"/>
  <c r="A81" i="10"/>
  <c r="N80" i="10"/>
  <c r="M80" i="10"/>
  <c r="I80" i="10"/>
  <c r="H80" i="10"/>
  <c r="G80" i="10"/>
  <c r="F80" i="10"/>
  <c r="E80" i="10"/>
  <c r="D80" i="10"/>
  <c r="C80" i="10"/>
  <c r="B80" i="10"/>
  <c r="A80" i="10"/>
  <c r="N79" i="10"/>
  <c r="M79" i="10"/>
  <c r="I79" i="10"/>
  <c r="H79" i="10"/>
  <c r="G79" i="10"/>
  <c r="F79" i="10"/>
  <c r="E79" i="10"/>
  <c r="D79" i="10"/>
  <c r="C79" i="10"/>
  <c r="B79" i="10"/>
  <c r="A79" i="10"/>
  <c r="N78" i="10"/>
  <c r="M78" i="10"/>
  <c r="I78" i="10"/>
  <c r="H78" i="10"/>
  <c r="G78" i="10"/>
  <c r="F78" i="10"/>
  <c r="E78" i="10"/>
  <c r="D78" i="10"/>
  <c r="C78" i="10"/>
  <c r="B78" i="10"/>
  <c r="A78" i="10"/>
  <c r="N77" i="10"/>
  <c r="M77" i="10"/>
  <c r="I77" i="10"/>
  <c r="H77" i="10"/>
  <c r="G77" i="10"/>
  <c r="F77" i="10"/>
  <c r="E77" i="10"/>
  <c r="D77" i="10"/>
  <c r="C77" i="10"/>
  <c r="B77" i="10"/>
  <c r="A77" i="10"/>
  <c r="N76" i="10"/>
  <c r="M76" i="10"/>
  <c r="I76" i="10"/>
  <c r="H76" i="10"/>
  <c r="G76" i="10"/>
  <c r="F76" i="10"/>
  <c r="E76" i="10"/>
  <c r="D76" i="10"/>
  <c r="C76" i="10"/>
  <c r="B76" i="10"/>
  <c r="A76" i="10"/>
  <c r="N75" i="10"/>
  <c r="M75" i="10"/>
  <c r="I75" i="10"/>
  <c r="H75" i="10"/>
  <c r="G75" i="10"/>
  <c r="F75" i="10"/>
  <c r="E75" i="10"/>
  <c r="D75" i="10"/>
  <c r="C75" i="10"/>
  <c r="B75" i="10"/>
  <c r="A75" i="10"/>
  <c r="N74" i="10"/>
  <c r="M74" i="10"/>
  <c r="I74" i="10"/>
  <c r="H74" i="10"/>
  <c r="G74" i="10"/>
  <c r="F74" i="10"/>
  <c r="E74" i="10"/>
  <c r="D74" i="10"/>
  <c r="C74" i="10"/>
  <c r="B74" i="10"/>
  <c r="A74" i="10"/>
  <c r="N73" i="10"/>
  <c r="M73" i="10"/>
  <c r="I73" i="10"/>
  <c r="H73" i="10"/>
  <c r="G73" i="10"/>
  <c r="F73" i="10"/>
  <c r="E73" i="10"/>
  <c r="D73" i="10"/>
  <c r="C73" i="10"/>
  <c r="B73" i="10"/>
  <c r="A73" i="10"/>
  <c r="M72" i="10"/>
  <c r="I72" i="10"/>
  <c r="H72" i="10"/>
  <c r="G72" i="10"/>
  <c r="F72" i="10"/>
  <c r="E72" i="10"/>
  <c r="D72" i="10"/>
  <c r="C72" i="10"/>
  <c r="B72" i="10"/>
  <c r="A72" i="10"/>
  <c r="N71" i="10"/>
  <c r="M71" i="10"/>
  <c r="I71" i="10"/>
  <c r="H71" i="10"/>
  <c r="G71" i="10"/>
  <c r="F71" i="10"/>
  <c r="E71" i="10"/>
  <c r="D71" i="10"/>
  <c r="C71" i="10"/>
  <c r="B71" i="10"/>
  <c r="A71" i="10"/>
  <c r="N70" i="10"/>
  <c r="M70" i="10"/>
  <c r="I70" i="10"/>
  <c r="H70" i="10"/>
  <c r="G70" i="10"/>
  <c r="F70" i="10"/>
  <c r="E70" i="10"/>
  <c r="D70" i="10"/>
  <c r="C70" i="10"/>
  <c r="B70" i="10"/>
  <c r="A70" i="10"/>
  <c r="N69" i="10"/>
  <c r="M69" i="10"/>
  <c r="I69" i="10"/>
  <c r="H69" i="10"/>
  <c r="G69" i="10"/>
  <c r="F69" i="10"/>
  <c r="E69" i="10"/>
  <c r="D69" i="10"/>
  <c r="C69" i="10"/>
  <c r="B69" i="10"/>
  <c r="A69" i="10"/>
  <c r="N68" i="10"/>
  <c r="M68" i="10"/>
  <c r="I68" i="10"/>
  <c r="H68" i="10"/>
  <c r="G68" i="10"/>
  <c r="F68" i="10"/>
  <c r="E68" i="10"/>
  <c r="D68" i="10"/>
  <c r="C68" i="10"/>
  <c r="B68" i="10"/>
  <c r="A68" i="10"/>
  <c r="N67" i="10"/>
  <c r="M67" i="10"/>
  <c r="I67" i="10"/>
  <c r="H67" i="10"/>
  <c r="G67" i="10"/>
  <c r="F67" i="10"/>
  <c r="E67" i="10"/>
  <c r="D67" i="10"/>
  <c r="C67" i="10"/>
  <c r="B67" i="10"/>
  <c r="A67" i="10"/>
  <c r="N66" i="10"/>
  <c r="M66" i="10"/>
  <c r="I66" i="10"/>
  <c r="H66" i="10"/>
  <c r="G66" i="10"/>
  <c r="F66" i="10"/>
  <c r="E66" i="10"/>
  <c r="D66" i="10"/>
  <c r="C66" i="10"/>
  <c r="B66" i="10"/>
  <c r="A66" i="10"/>
  <c r="N65" i="10"/>
  <c r="M65" i="10"/>
  <c r="I65" i="10"/>
  <c r="H65" i="10"/>
  <c r="G65" i="10"/>
  <c r="F65" i="10"/>
  <c r="E65" i="10"/>
  <c r="D65" i="10"/>
  <c r="C65" i="10"/>
  <c r="B65" i="10"/>
  <c r="A65" i="10"/>
  <c r="M64" i="10"/>
  <c r="I64" i="10"/>
  <c r="H64" i="10"/>
  <c r="G64" i="10"/>
  <c r="F64" i="10"/>
  <c r="E64" i="10"/>
  <c r="D64" i="10"/>
  <c r="C64" i="10"/>
  <c r="B64" i="10"/>
  <c r="A64" i="10"/>
  <c r="N63" i="10"/>
  <c r="M63" i="10"/>
  <c r="I63" i="10"/>
  <c r="H63" i="10"/>
  <c r="G63" i="10"/>
  <c r="F63" i="10"/>
  <c r="E63" i="10"/>
  <c r="D63" i="10"/>
  <c r="C63" i="10"/>
  <c r="B63" i="10"/>
  <c r="A63" i="10"/>
  <c r="M62" i="10"/>
  <c r="I62" i="10"/>
  <c r="H62" i="10"/>
  <c r="G62" i="10"/>
  <c r="F62" i="10"/>
  <c r="E62" i="10"/>
  <c r="D62" i="10"/>
  <c r="C62" i="10"/>
  <c r="B62" i="10"/>
  <c r="A62" i="10"/>
  <c r="M61" i="10"/>
  <c r="I61" i="10"/>
  <c r="H61" i="10"/>
  <c r="G61" i="10"/>
  <c r="F61" i="10"/>
  <c r="E61" i="10"/>
  <c r="D61" i="10"/>
  <c r="C61" i="10"/>
  <c r="B61" i="10"/>
  <c r="A61" i="10"/>
  <c r="N60" i="10"/>
  <c r="M60" i="10"/>
  <c r="I60" i="10"/>
  <c r="H60" i="10"/>
  <c r="G60" i="10"/>
  <c r="F60" i="10"/>
  <c r="E60" i="10"/>
  <c r="D60" i="10"/>
  <c r="C60" i="10"/>
  <c r="B60" i="10"/>
  <c r="A60" i="10"/>
  <c r="N59" i="10"/>
  <c r="M59" i="10"/>
  <c r="I59" i="10"/>
  <c r="H59" i="10"/>
  <c r="G59" i="10"/>
  <c r="F59" i="10"/>
  <c r="E59" i="10"/>
  <c r="D59" i="10"/>
  <c r="C59" i="10"/>
  <c r="B59" i="10"/>
  <c r="A59" i="10"/>
  <c r="N58" i="10"/>
  <c r="M58" i="10"/>
  <c r="I58" i="10"/>
  <c r="H58" i="10"/>
  <c r="G58" i="10"/>
  <c r="F58" i="10"/>
  <c r="E58" i="10"/>
  <c r="D58" i="10"/>
  <c r="C58" i="10"/>
  <c r="B58" i="10"/>
  <c r="A58" i="10"/>
  <c r="N57" i="10"/>
  <c r="M57" i="10"/>
  <c r="I57" i="10"/>
  <c r="H57" i="10"/>
  <c r="G57" i="10"/>
  <c r="F57" i="10"/>
  <c r="E57" i="10"/>
  <c r="D57" i="10"/>
  <c r="C57" i="10"/>
  <c r="B57" i="10"/>
  <c r="A57" i="10"/>
  <c r="N56" i="10"/>
  <c r="M56" i="10"/>
  <c r="I56" i="10"/>
  <c r="H56" i="10"/>
  <c r="G56" i="10"/>
  <c r="F56" i="10"/>
  <c r="E56" i="10"/>
  <c r="D56" i="10"/>
  <c r="C56" i="10"/>
  <c r="B56" i="10"/>
  <c r="A56" i="10"/>
  <c r="N55" i="10"/>
  <c r="M55" i="10"/>
  <c r="I55" i="10"/>
  <c r="H55" i="10"/>
  <c r="G55" i="10"/>
  <c r="F55" i="10"/>
  <c r="E55" i="10"/>
  <c r="D55" i="10"/>
  <c r="C55" i="10"/>
  <c r="B55" i="10"/>
  <c r="A55" i="10"/>
  <c r="N54" i="10"/>
  <c r="M54" i="10"/>
  <c r="I54" i="10"/>
  <c r="H54" i="10"/>
  <c r="G54" i="10"/>
  <c r="F54" i="10"/>
  <c r="E54" i="10"/>
  <c r="D54" i="10"/>
  <c r="C54" i="10"/>
  <c r="B54" i="10"/>
  <c r="A54" i="10"/>
  <c r="M53" i="10"/>
  <c r="I53" i="10"/>
  <c r="H53" i="10"/>
  <c r="G53" i="10"/>
  <c r="F53" i="10"/>
  <c r="E53" i="10"/>
  <c r="D53" i="10"/>
  <c r="C53" i="10"/>
  <c r="B53" i="10"/>
  <c r="A53" i="10"/>
  <c r="N52" i="10"/>
  <c r="M52" i="10"/>
  <c r="I52" i="10"/>
  <c r="H52" i="10"/>
  <c r="G52" i="10"/>
  <c r="F52" i="10"/>
  <c r="E52" i="10"/>
  <c r="D52" i="10"/>
  <c r="C52" i="10"/>
  <c r="B52" i="10"/>
  <c r="A52" i="10"/>
  <c r="N51" i="10"/>
  <c r="M51" i="10"/>
  <c r="I51" i="10"/>
  <c r="H51" i="10"/>
  <c r="G51" i="10"/>
  <c r="F51" i="10"/>
  <c r="E51" i="10"/>
  <c r="D51" i="10"/>
  <c r="C51" i="10"/>
  <c r="B51" i="10"/>
  <c r="A51" i="10"/>
  <c r="N50" i="10"/>
  <c r="M50" i="10"/>
  <c r="I50" i="10"/>
  <c r="H50" i="10"/>
  <c r="G50" i="10"/>
  <c r="F50" i="10"/>
  <c r="E50" i="10"/>
  <c r="D50" i="10"/>
  <c r="C50" i="10"/>
  <c r="B50" i="10"/>
  <c r="A50" i="10"/>
  <c r="N49" i="10"/>
  <c r="M49" i="10"/>
  <c r="I49" i="10"/>
  <c r="H49" i="10"/>
  <c r="G49" i="10"/>
  <c r="F49" i="10"/>
  <c r="E49" i="10"/>
  <c r="D49" i="10"/>
  <c r="C49" i="10"/>
  <c r="B49" i="10"/>
  <c r="A49" i="10"/>
  <c r="N48" i="10"/>
  <c r="M48" i="10"/>
  <c r="I48" i="10"/>
  <c r="H48" i="10"/>
  <c r="G48" i="10"/>
  <c r="F48" i="10"/>
  <c r="E48" i="10"/>
  <c r="D48" i="10"/>
  <c r="C48" i="10"/>
  <c r="B48" i="10"/>
  <c r="A48" i="10"/>
  <c r="N47" i="10"/>
  <c r="M47" i="10"/>
  <c r="I47" i="10"/>
  <c r="H47" i="10"/>
  <c r="G47" i="10"/>
  <c r="F47" i="10"/>
  <c r="E47" i="10"/>
  <c r="D47" i="10"/>
  <c r="C47" i="10"/>
  <c r="B47" i="10"/>
  <c r="A47" i="10"/>
  <c r="N46" i="10"/>
  <c r="M46" i="10"/>
  <c r="I46" i="10"/>
  <c r="H46" i="10"/>
  <c r="G46" i="10"/>
  <c r="F46" i="10"/>
  <c r="E46" i="10"/>
  <c r="D46" i="10"/>
  <c r="C46" i="10"/>
  <c r="B46" i="10"/>
  <c r="A46" i="10"/>
  <c r="M45" i="10"/>
  <c r="I45" i="10"/>
  <c r="H45" i="10"/>
  <c r="G45" i="10"/>
  <c r="F45" i="10"/>
  <c r="E45" i="10"/>
  <c r="D45" i="10"/>
  <c r="C45" i="10"/>
  <c r="B45" i="10"/>
  <c r="A45" i="10"/>
  <c r="N44" i="10"/>
  <c r="M44" i="10"/>
  <c r="I44" i="10"/>
  <c r="H44" i="10"/>
  <c r="G44" i="10"/>
  <c r="F44" i="10"/>
  <c r="E44" i="10"/>
  <c r="D44" i="10"/>
  <c r="C44" i="10"/>
  <c r="B44" i="10"/>
  <c r="A44" i="10"/>
  <c r="N43" i="10"/>
  <c r="M43" i="10"/>
  <c r="I43" i="10"/>
  <c r="H43" i="10"/>
  <c r="G43" i="10"/>
  <c r="F43" i="10"/>
  <c r="E43" i="10"/>
  <c r="D43" i="10"/>
  <c r="C43" i="10"/>
  <c r="B43" i="10"/>
  <c r="A43" i="10"/>
  <c r="N42" i="10"/>
  <c r="M42" i="10"/>
  <c r="I42" i="10"/>
  <c r="H42" i="10"/>
  <c r="G42" i="10"/>
  <c r="F42" i="10"/>
  <c r="E42" i="10"/>
  <c r="D42" i="10"/>
  <c r="C42" i="10"/>
  <c r="B42" i="10"/>
  <c r="A42" i="10"/>
  <c r="M41" i="10"/>
  <c r="I41" i="10"/>
  <c r="H41" i="10"/>
  <c r="G41" i="10"/>
  <c r="F41" i="10"/>
  <c r="E41" i="10"/>
  <c r="D41" i="10"/>
  <c r="C41" i="10"/>
  <c r="B41" i="10"/>
  <c r="A41" i="10"/>
  <c r="N40" i="10"/>
  <c r="M40" i="10"/>
  <c r="I40" i="10"/>
  <c r="H40" i="10"/>
  <c r="G40" i="10"/>
  <c r="F40" i="10"/>
  <c r="E40" i="10"/>
  <c r="D40" i="10"/>
  <c r="C40" i="10"/>
  <c r="B40" i="10"/>
  <c r="A40" i="10"/>
  <c r="N39" i="10"/>
  <c r="M39" i="10"/>
  <c r="I39" i="10"/>
  <c r="H39" i="10"/>
  <c r="G39" i="10"/>
  <c r="F39" i="10"/>
  <c r="E39" i="10"/>
  <c r="D39" i="10"/>
  <c r="C39" i="10"/>
  <c r="B39" i="10"/>
  <c r="A39" i="10"/>
  <c r="N38" i="10"/>
  <c r="M38" i="10"/>
  <c r="I38" i="10"/>
  <c r="H38" i="10"/>
  <c r="G38" i="10"/>
  <c r="F38" i="10"/>
  <c r="E38" i="10"/>
  <c r="D38" i="10"/>
  <c r="C38" i="10"/>
  <c r="B38" i="10"/>
  <c r="A38" i="10"/>
  <c r="M37" i="10"/>
  <c r="I37" i="10"/>
  <c r="H37" i="10"/>
  <c r="G37" i="10"/>
  <c r="F37" i="10"/>
  <c r="E37" i="10"/>
  <c r="D37" i="10"/>
  <c r="C37" i="10"/>
  <c r="B37" i="10"/>
  <c r="A37" i="10"/>
  <c r="N36" i="10"/>
  <c r="M36" i="10"/>
  <c r="I36" i="10"/>
  <c r="H36" i="10"/>
  <c r="G36" i="10"/>
  <c r="F36" i="10"/>
  <c r="E36" i="10"/>
  <c r="D36" i="10"/>
  <c r="C36" i="10"/>
  <c r="B36" i="10"/>
  <c r="A36" i="10"/>
  <c r="N35" i="10"/>
  <c r="M35" i="10"/>
  <c r="I35" i="10"/>
  <c r="H35" i="10"/>
  <c r="G35" i="10"/>
  <c r="F35" i="10"/>
  <c r="E35" i="10"/>
  <c r="D35" i="10"/>
  <c r="C35" i="10"/>
  <c r="B35" i="10"/>
  <c r="A35" i="10"/>
  <c r="M34" i="10"/>
  <c r="I34" i="10"/>
  <c r="H34" i="10"/>
  <c r="G34" i="10"/>
  <c r="F34" i="10"/>
  <c r="E34" i="10"/>
  <c r="D34" i="10"/>
  <c r="C34" i="10"/>
  <c r="B34" i="10"/>
  <c r="A34" i="10"/>
  <c r="N33" i="10"/>
  <c r="M33" i="10"/>
  <c r="I33" i="10"/>
  <c r="H33" i="10"/>
  <c r="G33" i="10"/>
  <c r="F33" i="10"/>
  <c r="E33" i="10"/>
  <c r="D33" i="10"/>
  <c r="C33" i="10"/>
  <c r="B33" i="10"/>
  <c r="A33" i="10"/>
  <c r="N32" i="10"/>
  <c r="M32" i="10"/>
  <c r="I32" i="10"/>
  <c r="H32" i="10"/>
  <c r="G32" i="10"/>
  <c r="F32" i="10"/>
  <c r="E32" i="10"/>
  <c r="D32" i="10"/>
  <c r="C32" i="10"/>
  <c r="B32" i="10"/>
  <c r="A32" i="10"/>
  <c r="N31" i="10"/>
  <c r="M31" i="10"/>
  <c r="I31" i="10"/>
  <c r="H31" i="10"/>
  <c r="G31" i="10"/>
  <c r="F31" i="10"/>
  <c r="E31" i="10"/>
  <c r="D31" i="10"/>
  <c r="C31" i="10"/>
  <c r="B31" i="10"/>
  <c r="A31" i="10"/>
  <c r="N30" i="10"/>
  <c r="M30" i="10"/>
  <c r="I30" i="10"/>
  <c r="H30" i="10"/>
  <c r="G30" i="10"/>
  <c r="F30" i="10"/>
  <c r="E30" i="10"/>
  <c r="D30" i="10"/>
  <c r="C30" i="10"/>
  <c r="B30" i="10"/>
  <c r="A30" i="10"/>
  <c r="N29" i="10"/>
  <c r="M29" i="10"/>
  <c r="I29" i="10"/>
  <c r="H29" i="10"/>
  <c r="G29" i="10"/>
  <c r="F29" i="10"/>
  <c r="E29" i="10"/>
  <c r="D29" i="10"/>
  <c r="C29" i="10"/>
  <c r="B29" i="10"/>
  <c r="A29" i="10"/>
  <c r="N28" i="10"/>
  <c r="M28" i="10"/>
  <c r="I28" i="10"/>
  <c r="H28" i="10"/>
  <c r="G28" i="10"/>
  <c r="F28" i="10"/>
  <c r="E28" i="10"/>
  <c r="D28" i="10"/>
  <c r="C28" i="10"/>
  <c r="B28" i="10"/>
  <c r="A28" i="10"/>
  <c r="M27" i="10"/>
  <c r="I27" i="10"/>
  <c r="H27" i="10"/>
  <c r="G27" i="10"/>
  <c r="F27" i="10"/>
  <c r="E27" i="10"/>
  <c r="D27" i="10"/>
  <c r="C27" i="10"/>
  <c r="B27" i="10"/>
  <c r="A27" i="10"/>
  <c r="N26" i="10"/>
  <c r="M26" i="10"/>
  <c r="I26" i="10"/>
  <c r="H26" i="10"/>
  <c r="G26" i="10"/>
  <c r="F26" i="10"/>
  <c r="E26" i="10"/>
  <c r="D26" i="10"/>
  <c r="C26" i="10"/>
  <c r="B26" i="10"/>
  <c r="A26" i="10"/>
  <c r="N25" i="10"/>
  <c r="M25" i="10"/>
  <c r="I25" i="10"/>
  <c r="H25" i="10"/>
  <c r="G25" i="10"/>
  <c r="F25" i="10"/>
  <c r="E25" i="10"/>
  <c r="D25" i="10"/>
  <c r="C25" i="10"/>
  <c r="B25" i="10"/>
  <c r="A25" i="10"/>
  <c r="N24" i="10"/>
  <c r="M24" i="10"/>
  <c r="I24" i="10"/>
  <c r="H24" i="10"/>
  <c r="G24" i="10"/>
  <c r="F24" i="10"/>
  <c r="E24" i="10"/>
  <c r="D24" i="10"/>
  <c r="C24" i="10"/>
  <c r="B24" i="10"/>
  <c r="A24" i="10"/>
  <c r="N23" i="10"/>
  <c r="M23" i="10"/>
  <c r="I23" i="10"/>
  <c r="H23" i="10"/>
  <c r="G23" i="10"/>
  <c r="F23" i="10"/>
  <c r="E23" i="10"/>
  <c r="D23" i="10"/>
  <c r="C23" i="10"/>
  <c r="B23" i="10"/>
  <c r="A23" i="10"/>
  <c r="N22" i="10"/>
  <c r="M22" i="10"/>
  <c r="I22" i="10"/>
  <c r="H22" i="10"/>
  <c r="G22" i="10"/>
  <c r="F22" i="10"/>
  <c r="E22" i="10"/>
  <c r="D22" i="10"/>
  <c r="C22" i="10"/>
  <c r="B22" i="10"/>
  <c r="A22" i="10"/>
  <c r="N21" i="10"/>
  <c r="M21" i="10"/>
  <c r="I21" i="10"/>
  <c r="H21" i="10"/>
  <c r="G21" i="10"/>
  <c r="F21" i="10"/>
  <c r="E21" i="10"/>
  <c r="D21" i="10"/>
  <c r="C21" i="10"/>
  <c r="B21" i="10"/>
  <c r="A21" i="10"/>
  <c r="M20" i="10"/>
  <c r="I20" i="10"/>
  <c r="H20" i="10"/>
  <c r="G20" i="10"/>
  <c r="F20" i="10"/>
  <c r="E20" i="10"/>
  <c r="D20" i="10"/>
  <c r="C20" i="10"/>
  <c r="B20" i="10"/>
  <c r="A20" i="10"/>
  <c r="N19" i="10"/>
  <c r="M19" i="10"/>
  <c r="I19" i="10"/>
  <c r="H19" i="10"/>
  <c r="G19" i="10"/>
  <c r="F19" i="10"/>
  <c r="E19" i="10"/>
  <c r="D19" i="10"/>
  <c r="C19" i="10"/>
  <c r="B19" i="10"/>
  <c r="A19" i="10"/>
  <c r="N18" i="10"/>
  <c r="M18" i="10"/>
  <c r="I18" i="10"/>
  <c r="H18" i="10"/>
  <c r="G18" i="10"/>
  <c r="F18" i="10"/>
  <c r="E18" i="10"/>
  <c r="D18" i="10"/>
  <c r="C18" i="10"/>
  <c r="B18" i="10"/>
  <c r="A18" i="10"/>
  <c r="N17" i="10"/>
  <c r="M17" i="10"/>
  <c r="I17" i="10"/>
  <c r="H17" i="10"/>
  <c r="G17" i="10"/>
  <c r="F17" i="10"/>
  <c r="E17" i="10"/>
  <c r="D17" i="10"/>
  <c r="C17" i="10"/>
  <c r="B17" i="10"/>
  <c r="A17" i="10"/>
  <c r="M16" i="10"/>
  <c r="I16" i="10"/>
  <c r="H16" i="10"/>
  <c r="G16" i="10"/>
  <c r="F16" i="10"/>
  <c r="E16" i="10"/>
  <c r="D16" i="10"/>
  <c r="C16" i="10"/>
  <c r="B16" i="10"/>
  <c r="A16" i="10"/>
  <c r="N15" i="10"/>
  <c r="M15" i="10"/>
  <c r="I15" i="10"/>
  <c r="H15" i="10"/>
  <c r="G15" i="10"/>
  <c r="F15" i="10"/>
  <c r="E15" i="10"/>
  <c r="D15" i="10"/>
  <c r="C15" i="10"/>
  <c r="B15" i="10"/>
  <c r="A15" i="10"/>
  <c r="N14" i="10"/>
  <c r="M14" i="10"/>
  <c r="I14" i="10"/>
  <c r="H14" i="10"/>
  <c r="G14" i="10"/>
  <c r="F14" i="10"/>
  <c r="E14" i="10"/>
  <c r="D14" i="10"/>
  <c r="C14" i="10"/>
  <c r="B14" i="10"/>
  <c r="A14" i="10"/>
  <c r="N13" i="10"/>
  <c r="M13" i="10"/>
  <c r="I13" i="10"/>
  <c r="H13" i="10"/>
  <c r="G13" i="10"/>
  <c r="F13" i="10"/>
  <c r="E13" i="10"/>
  <c r="D13" i="10"/>
  <c r="C13" i="10"/>
  <c r="B13" i="10"/>
  <c r="A13" i="10"/>
  <c r="M12" i="10"/>
  <c r="I12" i="10"/>
  <c r="H12" i="10"/>
  <c r="G12" i="10"/>
  <c r="F12" i="10"/>
  <c r="E12" i="10"/>
  <c r="D12" i="10"/>
  <c r="C12" i="10"/>
  <c r="B12" i="10"/>
  <c r="A12" i="10"/>
  <c r="N11" i="10"/>
  <c r="M11" i="10"/>
  <c r="I11" i="10"/>
  <c r="H11" i="10"/>
  <c r="G11" i="10"/>
  <c r="F11" i="10"/>
  <c r="E11" i="10"/>
  <c r="D11" i="10"/>
  <c r="C11" i="10"/>
  <c r="B11" i="10"/>
  <c r="A11" i="10"/>
  <c r="N10" i="10"/>
  <c r="M10" i="10"/>
  <c r="I10" i="10"/>
  <c r="H10" i="10"/>
  <c r="G10" i="10"/>
  <c r="F10" i="10"/>
  <c r="E10" i="10"/>
  <c r="D10" i="10"/>
  <c r="C10" i="10"/>
  <c r="B10" i="10"/>
  <c r="A10" i="10"/>
  <c r="N9" i="10"/>
  <c r="M9" i="10"/>
  <c r="I9" i="10"/>
  <c r="H9" i="10"/>
  <c r="G9" i="10"/>
  <c r="F9" i="10"/>
  <c r="E9" i="10"/>
  <c r="D9" i="10"/>
  <c r="C9" i="10"/>
  <c r="B9" i="10"/>
  <c r="A9" i="10"/>
  <c r="N8" i="10"/>
  <c r="M8" i="10"/>
  <c r="I8" i="10"/>
  <c r="H8" i="10"/>
  <c r="G8" i="10"/>
  <c r="F8" i="10"/>
  <c r="E8" i="10"/>
  <c r="D8" i="10"/>
  <c r="C8" i="10"/>
  <c r="B8" i="10"/>
  <c r="A8" i="10"/>
  <c r="N7" i="10"/>
  <c r="M7" i="10"/>
  <c r="I7" i="10"/>
  <c r="H7" i="10"/>
  <c r="G7" i="10"/>
  <c r="F7" i="10"/>
  <c r="E7" i="10"/>
  <c r="D7" i="10"/>
  <c r="C7" i="10"/>
  <c r="B7" i="10"/>
  <c r="A7" i="10"/>
  <c r="M6" i="10"/>
  <c r="I6" i="10"/>
  <c r="H6" i="10"/>
  <c r="G6" i="10"/>
  <c r="F6" i="10"/>
  <c r="E6" i="10"/>
  <c r="D6" i="10"/>
  <c r="C6" i="10"/>
  <c r="B6" i="10"/>
  <c r="A6" i="10"/>
  <c r="N5" i="10"/>
  <c r="M5" i="10"/>
  <c r="I5" i="10"/>
  <c r="H5" i="10"/>
  <c r="G5" i="10"/>
  <c r="F5" i="10"/>
  <c r="E5" i="10"/>
  <c r="D5" i="10"/>
  <c r="C5" i="10"/>
  <c r="B5" i="10"/>
  <c r="A5" i="10"/>
  <c r="N4" i="10"/>
  <c r="M4" i="10"/>
  <c r="I4" i="10"/>
  <c r="H4" i="10"/>
  <c r="G4" i="10"/>
  <c r="F4" i="10"/>
  <c r="E4" i="10"/>
  <c r="D4" i="10"/>
  <c r="C4" i="10"/>
  <c r="B4" i="10"/>
  <c r="A4" i="10"/>
  <c r="N3" i="10"/>
  <c r="M3" i="10"/>
  <c r="I3" i="10"/>
  <c r="H3" i="10"/>
  <c r="G3" i="10"/>
  <c r="F3" i="10"/>
  <c r="E3" i="10"/>
  <c r="D3" i="10"/>
  <c r="C3" i="10"/>
  <c r="B3" i="10"/>
  <c r="A3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N3" i="9"/>
  <c r="M3" i="9"/>
  <c r="L3" i="9"/>
  <c r="K3" i="9"/>
  <c r="J3" i="9"/>
  <c r="I3" i="9"/>
  <c r="H3" i="9"/>
  <c r="G3" i="9"/>
  <c r="F3" i="9"/>
  <c r="E3" i="9"/>
  <c r="D3" i="9"/>
  <c r="C3" i="9"/>
  <c r="B3" i="9"/>
  <c r="A3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N28" i="8"/>
  <c r="M28" i="8"/>
  <c r="H28" i="8"/>
  <c r="G28" i="8"/>
  <c r="F28" i="8"/>
  <c r="E28" i="8"/>
  <c r="D28" i="8"/>
  <c r="C28" i="8"/>
  <c r="B28" i="8"/>
  <c r="A28" i="8"/>
  <c r="M27" i="8"/>
  <c r="H27" i="8"/>
  <c r="G27" i="8"/>
  <c r="F27" i="8"/>
  <c r="E27" i="8"/>
  <c r="D27" i="8"/>
  <c r="C27" i="8"/>
  <c r="B27" i="8"/>
  <c r="A27" i="8"/>
  <c r="N26" i="8"/>
  <c r="M26" i="8"/>
  <c r="H26" i="8"/>
  <c r="G26" i="8"/>
  <c r="F26" i="8"/>
  <c r="E26" i="8"/>
  <c r="D26" i="8"/>
  <c r="C26" i="8"/>
  <c r="B26" i="8"/>
  <c r="A26" i="8"/>
  <c r="N25" i="8"/>
  <c r="M25" i="8"/>
  <c r="H25" i="8"/>
  <c r="G25" i="8"/>
  <c r="F25" i="8"/>
  <c r="E25" i="8"/>
  <c r="D25" i="8"/>
  <c r="C25" i="8"/>
  <c r="B25" i="8"/>
  <c r="A25" i="8"/>
  <c r="M24" i="8"/>
  <c r="H24" i="8"/>
  <c r="G24" i="8"/>
  <c r="F24" i="8"/>
  <c r="E24" i="8"/>
  <c r="D24" i="8"/>
  <c r="C24" i="8"/>
  <c r="B24" i="8"/>
  <c r="A24" i="8"/>
  <c r="N23" i="8"/>
  <c r="M23" i="8"/>
  <c r="H23" i="8"/>
  <c r="G23" i="8"/>
  <c r="F23" i="8"/>
  <c r="E23" i="8"/>
  <c r="D23" i="8"/>
  <c r="C23" i="8"/>
  <c r="B23" i="8"/>
  <c r="A23" i="8"/>
  <c r="N22" i="8"/>
  <c r="M22" i="8"/>
  <c r="H22" i="8"/>
  <c r="G22" i="8"/>
  <c r="F22" i="8"/>
  <c r="E22" i="8"/>
  <c r="D22" i="8"/>
  <c r="C22" i="8"/>
  <c r="B22" i="8"/>
  <c r="A22" i="8"/>
  <c r="M21" i="8"/>
  <c r="H21" i="8"/>
  <c r="G21" i="8"/>
  <c r="F21" i="8"/>
  <c r="E21" i="8"/>
  <c r="D21" i="8"/>
  <c r="C21" i="8"/>
  <c r="B21" i="8"/>
  <c r="A21" i="8"/>
  <c r="M20" i="8"/>
  <c r="H20" i="8"/>
  <c r="G20" i="8"/>
  <c r="F20" i="8"/>
  <c r="E20" i="8"/>
  <c r="D20" i="8"/>
  <c r="C20" i="8"/>
  <c r="B20" i="8"/>
  <c r="A20" i="8"/>
  <c r="N19" i="8"/>
  <c r="M19" i="8"/>
  <c r="H19" i="8"/>
  <c r="G19" i="8"/>
  <c r="F19" i="8"/>
  <c r="E19" i="8"/>
  <c r="D19" i="8"/>
  <c r="C19" i="8"/>
  <c r="B19" i="8"/>
  <c r="A19" i="8"/>
  <c r="N18" i="8"/>
  <c r="M18" i="8"/>
  <c r="H18" i="8"/>
  <c r="G18" i="8"/>
  <c r="F18" i="8"/>
  <c r="E18" i="8"/>
  <c r="D18" i="8"/>
  <c r="C18" i="8"/>
  <c r="B18" i="8"/>
  <c r="A18" i="8"/>
  <c r="N17" i="8"/>
  <c r="M17" i="8"/>
  <c r="H17" i="8"/>
  <c r="G17" i="8"/>
  <c r="F17" i="8"/>
  <c r="E17" i="8"/>
  <c r="D17" i="8"/>
  <c r="C17" i="8"/>
  <c r="B17" i="8"/>
  <c r="A17" i="8"/>
  <c r="N16" i="8"/>
  <c r="M16" i="8"/>
  <c r="H16" i="8"/>
  <c r="G16" i="8"/>
  <c r="F16" i="8"/>
  <c r="E16" i="8"/>
  <c r="D16" i="8"/>
  <c r="C16" i="8"/>
  <c r="B16" i="8"/>
  <c r="A16" i="8"/>
  <c r="M15" i="8"/>
  <c r="H15" i="8"/>
  <c r="G15" i="8"/>
  <c r="F15" i="8"/>
  <c r="E15" i="8"/>
  <c r="D15" i="8"/>
  <c r="C15" i="8"/>
  <c r="B15" i="8"/>
  <c r="A15" i="8"/>
  <c r="N14" i="8"/>
  <c r="M14" i="8"/>
  <c r="H14" i="8"/>
  <c r="G14" i="8"/>
  <c r="F14" i="8"/>
  <c r="E14" i="8"/>
  <c r="D14" i="8"/>
  <c r="C14" i="8"/>
  <c r="B14" i="8"/>
  <c r="A14" i="8"/>
  <c r="M13" i="8"/>
  <c r="H13" i="8"/>
  <c r="G13" i="8"/>
  <c r="F13" i="8"/>
  <c r="E13" i="8"/>
  <c r="D13" i="8"/>
  <c r="C13" i="8"/>
  <c r="B13" i="8"/>
  <c r="A13" i="8"/>
  <c r="N12" i="8"/>
  <c r="M12" i="8"/>
  <c r="H12" i="8"/>
  <c r="G12" i="8"/>
  <c r="F12" i="8"/>
  <c r="E12" i="8"/>
  <c r="D12" i="8"/>
  <c r="C12" i="8"/>
  <c r="B12" i="8"/>
  <c r="A12" i="8"/>
  <c r="N11" i="8"/>
  <c r="M11" i="8"/>
  <c r="H11" i="8"/>
  <c r="G11" i="8"/>
  <c r="F11" i="8"/>
  <c r="E11" i="8"/>
  <c r="D11" i="8"/>
  <c r="C11" i="8"/>
  <c r="B11" i="8"/>
  <c r="A11" i="8"/>
  <c r="N10" i="8"/>
  <c r="M10" i="8"/>
  <c r="H10" i="8"/>
  <c r="G10" i="8"/>
  <c r="F10" i="8"/>
  <c r="E10" i="8"/>
  <c r="D10" i="8"/>
  <c r="C10" i="8"/>
  <c r="B10" i="8"/>
  <c r="A10" i="8"/>
  <c r="M9" i="8"/>
  <c r="H9" i="8"/>
  <c r="G9" i="8"/>
  <c r="F9" i="8"/>
  <c r="E9" i="8"/>
  <c r="D9" i="8"/>
  <c r="C9" i="8"/>
  <c r="B9" i="8"/>
  <c r="A9" i="8"/>
  <c r="N8" i="8"/>
  <c r="M8" i="8"/>
  <c r="H8" i="8"/>
  <c r="G8" i="8"/>
  <c r="F8" i="8"/>
  <c r="E8" i="8"/>
  <c r="D8" i="8"/>
  <c r="C8" i="8"/>
  <c r="B8" i="8"/>
  <c r="A8" i="8"/>
  <c r="N7" i="8"/>
  <c r="M7" i="8"/>
  <c r="H7" i="8"/>
  <c r="G7" i="8"/>
  <c r="F7" i="8"/>
  <c r="E7" i="8"/>
  <c r="D7" i="8"/>
  <c r="C7" i="8"/>
  <c r="B7" i="8"/>
  <c r="A7" i="8"/>
  <c r="M6" i="8"/>
  <c r="H6" i="8"/>
  <c r="G6" i="8"/>
  <c r="F6" i="8"/>
  <c r="E6" i="8"/>
  <c r="D6" i="8"/>
  <c r="C6" i="8"/>
  <c r="B6" i="8"/>
  <c r="A6" i="8"/>
  <c r="M5" i="8"/>
  <c r="H5" i="8"/>
  <c r="G5" i="8"/>
  <c r="F5" i="8"/>
  <c r="E5" i="8"/>
  <c r="D5" i="8"/>
  <c r="C5" i="8"/>
  <c r="B5" i="8"/>
  <c r="A5" i="8"/>
  <c r="M4" i="8"/>
  <c r="H4" i="8"/>
  <c r="G4" i="8"/>
  <c r="F4" i="8"/>
  <c r="E4" i="8"/>
  <c r="D4" i="8"/>
  <c r="C4" i="8"/>
  <c r="B4" i="8"/>
  <c r="A4" i="8"/>
  <c r="N3" i="8"/>
  <c r="M3" i="8"/>
  <c r="H3" i="8"/>
  <c r="G3" i="8"/>
  <c r="F3" i="8"/>
  <c r="E3" i="8"/>
  <c r="D3" i="8"/>
  <c r="C3" i="8"/>
  <c r="B3" i="8"/>
  <c r="A3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N79" i="7"/>
  <c r="M79" i="7"/>
  <c r="I79" i="7"/>
  <c r="H79" i="7"/>
  <c r="G79" i="7"/>
  <c r="F79" i="7"/>
  <c r="E79" i="7"/>
  <c r="D79" i="7"/>
  <c r="C79" i="7"/>
  <c r="B79" i="7"/>
  <c r="A79" i="7"/>
  <c r="N78" i="7"/>
  <c r="M78" i="7"/>
  <c r="I78" i="7"/>
  <c r="H78" i="7"/>
  <c r="G78" i="7"/>
  <c r="F78" i="7"/>
  <c r="E78" i="7"/>
  <c r="D78" i="7"/>
  <c r="C78" i="7"/>
  <c r="B78" i="7"/>
  <c r="A78" i="7"/>
  <c r="N77" i="7"/>
  <c r="M77" i="7"/>
  <c r="I77" i="7"/>
  <c r="H77" i="7"/>
  <c r="G77" i="7"/>
  <c r="F77" i="7"/>
  <c r="E77" i="7"/>
  <c r="D77" i="7"/>
  <c r="C77" i="7"/>
  <c r="B77" i="7"/>
  <c r="A77" i="7"/>
  <c r="N76" i="7"/>
  <c r="M76" i="7"/>
  <c r="I76" i="7"/>
  <c r="H76" i="7"/>
  <c r="G76" i="7"/>
  <c r="F76" i="7"/>
  <c r="E76" i="7"/>
  <c r="D76" i="7"/>
  <c r="C76" i="7"/>
  <c r="B76" i="7"/>
  <c r="A76" i="7"/>
  <c r="N75" i="7"/>
  <c r="M75" i="7"/>
  <c r="I75" i="7"/>
  <c r="H75" i="7"/>
  <c r="G75" i="7"/>
  <c r="F75" i="7"/>
  <c r="E75" i="7"/>
  <c r="D75" i="7"/>
  <c r="C75" i="7"/>
  <c r="B75" i="7"/>
  <c r="A75" i="7"/>
  <c r="N74" i="7"/>
  <c r="M74" i="7"/>
  <c r="I74" i="7"/>
  <c r="H74" i="7"/>
  <c r="G74" i="7"/>
  <c r="F74" i="7"/>
  <c r="E74" i="7"/>
  <c r="D74" i="7"/>
  <c r="C74" i="7"/>
  <c r="B74" i="7"/>
  <c r="A74" i="7"/>
  <c r="M73" i="7"/>
  <c r="I73" i="7"/>
  <c r="H73" i="7"/>
  <c r="G73" i="7"/>
  <c r="F73" i="7"/>
  <c r="E73" i="7"/>
  <c r="D73" i="7"/>
  <c r="C73" i="7"/>
  <c r="B73" i="7"/>
  <c r="A73" i="7"/>
  <c r="N72" i="7"/>
  <c r="M72" i="7"/>
  <c r="I72" i="7"/>
  <c r="H72" i="7"/>
  <c r="G72" i="7"/>
  <c r="F72" i="7"/>
  <c r="E72" i="7"/>
  <c r="D72" i="7"/>
  <c r="C72" i="7"/>
  <c r="B72" i="7"/>
  <c r="A72" i="7"/>
  <c r="N71" i="7"/>
  <c r="M71" i="7"/>
  <c r="I71" i="7"/>
  <c r="H71" i="7"/>
  <c r="G71" i="7"/>
  <c r="F71" i="7"/>
  <c r="E71" i="7"/>
  <c r="D71" i="7"/>
  <c r="C71" i="7"/>
  <c r="B71" i="7"/>
  <c r="A71" i="7"/>
  <c r="N70" i="7"/>
  <c r="M70" i="7"/>
  <c r="I70" i="7"/>
  <c r="H70" i="7"/>
  <c r="G70" i="7"/>
  <c r="F70" i="7"/>
  <c r="E70" i="7"/>
  <c r="D70" i="7"/>
  <c r="C70" i="7"/>
  <c r="B70" i="7"/>
  <c r="A70" i="7"/>
  <c r="N69" i="7"/>
  <c r="M69" i="7"/>
  <c r="I69" i="7"/>
  <c r="H69" i="7"/>
  <c r="G69" i="7"/>
  <c r="F69" i="7"/>
  <c r="E69" i="7"/>
  <c r="D69" i="7"/>
  <c r="C69" i="7"/>
  <c r="B69" i="7"/>
  <c r="A69" i="7"/>
  <c r="M68" i="7"/>
  <c r="I68" i="7"/>
  <c r="H68" i="7"/>
  <c r="G68" i="7"/>
  <c r="F68" i="7"/>
  <c r="E68" i="7"/>
  <c r="D68" i="7"/>
  <c r="C68" i="7"/>
  <c r="B68" i="7"/>
  <c r="A68" i="7"/>
  <c r="N67" i="7"/>
  <c r="M67" i="7"/>
  <c r="I67" i="7"/>
  <c r="H67" i="7"/>
  <c r="G67" i="7"/>
  <c r="F67" i="7"/>
  <c r="E67" i="7"/>
  <c r="D67" i="7"/>
  <c r="C67" i="7"/>
  <c r="B67" i="7"/>
  <c r="A67" i="7"/>
  <c r="N66" i="7"/>
  <c r="M66" i="7"/>
  <c r="I66" i="7"/>
  <c r="H66" i="7"/>
  <c r="G66" i="7"/>
  <c r="F66" i="7"/>
  <c r="E66" i="7"/>
  <c r="D66" i="7"/>
  <c r="C66" i="7"/>
  <c r="B66" i="7"/>
  <c r="A66" i="7"/>
  <c r="N65" i="7"/>
  <c r="M65" i="7"/>
  <c r="I65" i="7"/>
  <c r="H65" i="7"/>
  <c r="G65" i="7"/>
  <c r="F65" i="7"/>
  <c r="E65" i="7"/>
  <c r="D65" i="7"/>
  <c r="C65" i="7"/>
  <c r="B65" i="7"/>
  <c r="A65" i="7"/>
  <c r="M64" i="7"/>
  <c r="I64" i="7"/>
  <c r="H64" i="7"/>
  <c r="G64" i="7"/>
  <c r="F64" i="7"/>
  <c r="E64" i="7"/>
  <c r="D64" i="7"/>
  <c r="C64" i="7"/>
  <c r="B64" i="7"/>
  <c r="A64" i="7"/>
  <c r="N63" i="7"/>
  <c r="M63" i="7"/>
  <c r="I63" i="7"/>
  <c r="H63" i="7"/>
  <c r="G63" i="7"/>
  <c r="F63" i="7"/>
  <c r="E63" i="7"/>
  <c r="D63" i="7"/>
  <c r="C63" i="7"/>
  <c r="B63" i="7"/>
  <c r="A63" i="7"/>
  <c r="N62" i="7"/>
  <c r="M62" i="7"/>
  <c r="I62" i="7"/>
  <c r="H62" i="7"/>
  <c r="G62" i="7"/>
  <c r="F62" i="7"/>
  <c r="E62" i="7"/>
  <c r="D62" i="7"/>
  <c r="C62" i="7"/>
  <c r="B62" i="7"/>
  <c r="A62" i="7"/>
  <c r="N61" i="7"/>
  <c r="M61" i="7"/>
  <c r="I61" i="7"/>
  <c r="H61" i="7"/>
  <c r="G61" i="7"/>
  <c r="F61" i="7"/>
  <c r="E61" i="7"/>
  <c r="D61" i="7"/>
  <c r="C61" i="7"/>
  <c r="B61" i="7"/>
  <c r="A61" i="7"/>
  <c r="N60" i="7"/>
  <c r="M60" i="7"/>
  <c r="I60" i="7"/>
  <c r="H60" i="7"/>
  <c r="G60" i="7"/>
  <c r="F60" i="7"/>
  <c r="E60" i="7"/>
  <c r="D60" i="7"/>
  <c r="C60" i="7"/>
  <c r="B60" i="7"/>
  <c r="A60" i="7"/>
  <c r="N59" i="7"/>
  <c r="M59" i="7"/>
  <c r="I59" i="7"/>
  <c r="H59" i="7"/>
  <c r="G59" i="7"/>
  <c r="F59" i="7"/>
  <c r="E59" i="7"/>
  <c r="D59" i="7"/>
  <c r="C59" i="7"/>
  <c r="B59" i="7"/>
  <c r="A59" i="7"/>
  <c r="N58" i="7"/>
  <c r="M58" i="7"/>
  <c r="I58" i="7"/>
  <c r="H58" i="7"/>
  <c r="G58" i="7"/>
  <c r="F58" i="7"/>
  <c r="E58" i="7"/>
  <c r="D58" i="7"/>
  <c r="C58" i="7"/>
  <c r="B58" i="7"/>
  <c r="A58" i="7"/>
  <c r="N57" i="7"/>
  <c r="M57" i="7"/>
  <c r="I57" i="7"/>
  <c r="H57" i="7"/>
  <c r="G57" i="7"/>
  <c r="F57" i="7"/>
  <c r="E57" i="7"/>
  <c r="D57" i="7"/>
  <c r="C57" i="7"/>
  <c r="B57" i="7"/>
  <c r="A57" i="7"/>
  <c r="N56" i="7"/>
  <c r="M56" i="7"/>
  <c r="I56" i="7"/>
  <c r="H56" i="7"/>
  <c r="G56" i="7"/>
  <c r="F56" i="7"/>
  <c r="E56" i="7"/>
  <c r="D56" i="7"/>
  <c r="C56" i="7"/>
  <c r="B56" i="7"/>
  <c r="A56" i="7"/>
  <c r="N55" i="7"/>
  <c r="M55" i="7"/>
  <c r="I55" i="7"/>
  <c r="H55" i="7"/>
  <c r="G55" i="7"/>
  <c r="F55" i="7"/>
  <c r="E55" i="7"/>
  <c r="D55" i="7"/>
  <c r="C55" i="7"/>
  <c r="B55" i="7"/>
  <c r="A55" i="7"/>
  <c r="N54" i="7"/>
  <c r="M54" i="7"/>
  <c r="I54" i="7"/>
  <c r="H54" i="7"/>
  <c r="G54" i="7"/>
  <c r="F54" i="7"/>
  <c r="E54" i="7"/>
  <c r="D54" i="7"/>
  <c r="C54" i="7"/>
  <c r="B54" i="7"/>
  <c r="A54" i="7"/>
  <c r="N53" i="7"/>
  <c r="M53" i="7"/>
  <c r="I53" i="7"/>
  <c r="H53" i="7"/>
  <c r="G53" i="7"/>
  <c r="F53" i="7"/>
  <c r="E53" i="7"/>
  <c r="D53" i="7"/>
  <c r="C53" i="7"/>
  <c r="B53" i="7"/>
  <c r="A53" i="7"/>
  <c r="M52" i="7"/>
  <c r="I52" i="7"/>
  <c r="H52" i="7"/>
  <c r="G52" i="7"/>
  <c r="F52" i="7"/>
  <c r="E52" i="7"/>
  <c r="D52" i="7"/>
  <c r="C52" i="7"/>
  <c r="B52" i="7"/>
  <c r="A52" i="7"/>
  <c r="M51" i="7"/>
  <c r="I51" i="7"/>
  <c r="H51" i="7"/>
  <c r="G51" i="7"/>
  <c r="F51" i="7"/>
  <c r="E51" i="7"/>
  <c r="D51" i="7"/>
  <c r="C51" i="7"/>
  <c r="B51" i="7"/>
  <c r="A51" i="7"/>
  <c r="N50" i="7"/>
  <c r="M50" i="7"/>
  <c r="I50" i="7"/>
  <c r="H50" i="7"/>
  <c r="G50" i="7"/>
  <c r="F50" i="7"/>
  <c r="E50" i="7"/>
  <c r="D50" i="7"/>
  <c r="C50" i="7"/>
  <c r="B50" i="7"/>
  <c r="A50" i="7"/>
  <c r="N49" i="7"/>
  <c r="M49" i="7"/>
  <c r="I49" i="7"/>
  <c r="H49" i="7"/>
  <c r="G49" i="7"/>
  <c r="F49" i="7"/>
  <c r="E49" i="7"/>
  <c r="D49" i="7"/>
  <c r="C49" i="7"/>
  <c r="B49" i="7"/>
  <c r="A49" i="7"/>
  <c r="N48" i="7"/>
  <c r="M48" i="7"/>
  <c r="I48" i="7"/>
  <c r="H48" i="7"/>
  <c r="G48" i="7"/>
  <c r="F48" i="7"/>
  <c r="E48" i="7"/>
  <c r="D48" i="7"/>
  <c r="C48" i="7"/>
  <c r="B48" i="7"/>
  <c r="A48" i="7"/>
  <c r="M47" i="7"/>
  <c r="I47" i="7"/>
  <c r="H47" i="7"/>
  <c r="G47" i="7"/>
  <c r="F47" i="7"/>
  <c r="E47" i="7"/>
  <c r="D47" i="7"/>
  <c r="C47" i="7"/>
  <c r="B47" i="7"/>
  <c r="A47" i="7"/>
  <c r="M46" i="7"/>
  <c r="I46" i="7"/>
  <c r="H46" i="7"/>
  <c r="G46" i="7"/>
  <c r="F46" i="7"/>
  <c r="E46" i="7"/>
  <c r="D46" i="7"/>
  <c r="C46" i="7"/>
  <c r="B46" i="7"/>
  <c r="A46" i="7"/>
  <c r="N45" i="7"/>
  <c r="M45" i="7"/>
  <c r="I45" i="7"/>
  <c r="H45" i="7"/>
  <c r="G45" i="7"/>
  <c r="F45" i="7"/>
  <c r="E45" i="7"/>
  <c r="D45" i="7"/>
  <c r="C45" i="7"/>
  <c r="B45" i="7"/>
  <c r="A45" i="7"/>
  <c r="N44" i="7"/>
  <c r="M44" i="7"/>
  <c r="I44" i="7"/>
  <c r="H44" i="7"/>
  <c r="G44" i="7"/>
  <c r="F44" i="7"/>
  <c r="E44" i="7"/>
  <c r="D44" i="7"/>
  <c r="C44" i="7"/>
  <c r="B44" i="7"/>
  <c r="A44" i="7"/>
  <c r="N43" i="7"/>
  <c r="M43" i="7"/>
  <c r="I43" i="7"/>
  <c r="H43" i="7"/>
  <c r="G43" i="7"/>
  <c r="F43" i="7"/>
  <c r="E43" i="7"/>
  <c r="D43" i="7"/>
  <c r="C43" i="7"/>
  <c r="B43" i="7"/>
  <c r="A43" i="7"/>
  <c r="N42" i="7"/>
  <c r="M42" i="7"/>
  <c r="I42" i="7"/>
  <c r="H42" i="7"/>
  <c r="G42" i="7"/>
  <c r="F42" i="7"/>
  <c r="E42" i="7"/>
  <c r="D42" i="7"/>
  <c r="C42" i="7"/>
  <c r="B42" i="7"/>
  <c r="A42" i="7"/>
  <c r="N41" i="7"/>
  <c r="M41" i="7"/>
  <c r="I41" i="7"/>
  <c r="H41" i="7"/>
  <c r="G41" i="7"/>
  <c r="F41" i="7"/>
  <c r="E41" i="7"/>
  <c r="D41" i="7"/>
  <c r="C41" i="7"/>
  <c r="B41" i="7"/>
  <c r="A41" i="7"/>
  <c r="N40" i="7"/>
  <c r="M40" i="7"/>
  <c r="I40" i="7"/>
  <c r="H40" i="7"/>
  <c r="G40" i="7"/>
  <c r="F40" i="7"/>
  <c r="E40" i="7"/>
  <c r="D40" i="7"/>
  <c r="C40" i="7"/>
  <c r="B40" i="7"/>
  <c r="A40" i="7"/>
  <c r="N39" i="7"/>
  <c r="M39" i="7"/>
  <c r="I39" i="7"/>
  <c r="H39" i="7"/>
  <c r="G39" i="7"/>
  <c r="F39" i="7"/>
  <c r="E39" i="7"/>
  <c r="D39" i="7"/>
  <c r="C39" i="7"/>
  <c r="B39" i="7"/>
  <c r="A39" i="7"/>
  <c r="N38" i="7"/>
  <c r="M38" i="7"/>
  <c r="I38" i="7"/>
  <c r="H38" i="7"/>
  <c r="G38" i="7"/>
  <c r="F38" i="7"/>
  <c r="E38" i="7"/>
  <c r="D38" i="7"/>
  <c r="C38" i="7"/>
  <c r="B38" i="7"/>
  <c r="A38" i="7"/>
  <c r="M37" i="7"/>
  <c r="I37" i="7"/>
  <c r="H37" i="7"/>
  <c r="G37" i="7"/>
  <c r="F37" i="7"/>
  <c r="E37" i="7"/>
  <c r="D37" i="7"/>
  <c r="C37" i="7"/>
  <c r="B37" i="7"/>
  <c r="A37" i="7"/>
  <c r="N36" i="7"/>
  <c r="M36" i="7"/>
  <c r="I36" i="7"/>
  <c r="H36" i="7"/>
  <c r="G36" i="7"/>
  <c r="F36" i="7"/>
  <c r="E36" i="7"/>
  <c r="D36" i="7"/>
  <c r="C36" i="7"/>
  <c r="B36" i="7"/>
  <c r="A36" i="7"/>
  <c r="N35" i="7"/>
  <c r="M35" i="7"/>
  <c r="I35" i="7"/>
  <c r="H35" i="7"/>
  <c r="G35" i="7"/>
  <c r="F35" i="7"/>
  <c r="E35" i="7"/>
  <c r="D35" i="7"/>
  <c r="C35" i="7"/>
  <c r="B35" i="7"/>
  <c r="A35" i="7"/>
  <c r="N34" i="7"/>
  <c r="M34" i="7"/>
  <c r="I34" i="7"/>
  <c r="H34" i="7"/>
  <c r="G34" i="7"/>
  <c r="F34" i="7"/>
  <c r="E34" i="7"/>
  <c r="D34" i="7"/>
  <c r="C34" i="7"/>
  <c r="B34" i="7"/>
  <c r="A34" i="7"/>
  <c r="M33" i="7"/>
  <c r="I33" i="7"/>
  <c r="H33" i="7"/>
  <c r="G33" i="7"/>
  <c r="F33" i="7"/>
  <c r="E33" i="7"/>
  <c r="D33" i="7"/>
  <c r="C33" i="7"/>
  <c r="B33" i="7"/>
  <c r="A33" i="7"/>
  <c r="N32" i="7"/>
  <c r="M32" i="7"/>
  <c r="I32" i="7"/>
  <c r="H32" i="7"/>
  <c r="G32" i="7"/>
  <c r="F32" i="7"/>
  <c r="E32" i="7"/>
  <c r="D32" i="7"/>
  <c r="C32" i="7"/>
  <c r="B32" i="7"/>
  <c r="A32" i="7"/>
  <c r="N31" i="7"/>
  <c r="M31" i="7"/>
  <c r="I31" i="7"/>
  <c r="H31" i="7"/>
  <c r="G31" i="7"/>
  <c r="F31" i="7"/>
  <c r="E31" i="7"/>
  <c r="D31" i="7"/>
  <c r="C31" i="7"/>
  <c r="B31" i="7"/>
  <c r="A31" i="7"/>
  <c r="M30" i="7"/>
  <c r="I30" i="7"/>
  <c r="H30" i="7"/>
  <c r="G30" i="7"/>
  <c r="F30" i="7"/>
  <c r="E30" i="7"/>
  <c r="D30" i="7"/>
  <c r="C30" i="7"/>
  <c r="B30" i="7"/>
  <c r="A30" i="7"/>
  <c r="N29" i="7"/>
  <c r="M29" i="7"/>
  <c r="I29" i="7"/>
  <c r="H29" i="7"/>
  <c r="G29" i="7"/>
  <c r="F29" i="7"/>
  <c r="E29" i="7"/>
  <c r="D29" i="7"/>
  <c r="C29" i="7"/>
  <c r="B29" i="7"/>
  <c r="A29" i="7"/>
  <c r="N28" i="7"/>
  <c r="M28" i="7"/>
  <c r="I28" i="7"/>
  <c r="H28" i="7"/>
  <c r="G28" i="7"/>
  <c r="F28" i="7"/>
  <c r="E28" i="7"/>
  <c r="D28" i="7"/>
  <c r="C28" i="7"/>
  <c r="B28" i="7"/>
  <c r="A28" i="7"/>
  <c r="N27" i="7"/>
  <c r="M27" i="7"/>
  <c r="I27" i="7"/>
  <c r="H27" i="7"/>
  <c r="G27" i="7"/>
  <c r="F27" i="7"/>
  <c r="E27" i="7"/>
  <c r="D27" i="7"/>
  <c r="C27" i="7"/>
  <c r="B27" i="7"/>
  <c r="A27" i="7"/>
  <c r="M26" i="7"/>
  <c r="I26" i="7"/>
  <c r="H26" i="7"/>
  <c r="G26" i="7"/>
  <c r="F26" i="7"/>
  <c r="E26" i="7"/>
  <c r="D26" i="7"/>
  <c r="C26" i="7"/>
  <c r="B26" i="7"/>
  <c r="A26" i="7"/>
  <c r="N25" i="7"/>
  <c r="M25" i="7"/>
  <c r="I25" i="7"/>
  <c r="H25" i="7"/>
  <c r="G25" i="7"/>
  <c r="F25" i="7"/>
  <c r="E25" i="7"/>
  <c r="D25" i="7"/>
  <c r="C25" i="7"/>
  <c r="B25" i="7"/>
  <c r="A25" i="7"/>
  <c r="N24" i="7"/>
  <c r="M24" i="7"/>
  <c r="I24" i="7"/>
  <c r="H24" i="7"/>
  <c r="G24" i="7"/>
  <c r="F24" i="7"/>
  <c r="E24" i="7"/>
  <c r="D24" i="7"/>
  <c r="C24" i="7"/>
  <c r="B24" i="7"/>
  <c r="A24" i="7"/>
  <c r="N23" i="7"/>
  <c r="M23" i="7"/>
  <c r="I23" i="7"/>
  <c r="H23" i="7"/>
  <c r="G23" i="7"/>
  <c r="F23" i="7"/>
  <c r="E23" i="7"/>
  <c r="D23" i="7"/>
  <c r="C23" i="7"/>
  <c r="B23" i="7"/>
  <c r="A23" i="7"/>
  <c r="M22" i="7"/>
  <c r="I22" i="7"/>
  <c r="H22" i="7"/>
  <c r="G22" i="7"/>
  <c r="F22" i="7"/>
  <c r="E22" i="7"/>
  <c r="D22" i="7"/>
  <c r="C22" i="7"/>
  <c r="B22" i="7"/>
  <c r="A22" i="7"/>
  <c r="M21" i="7"/>
  <c r="I21" i="7"/>
  <c r="H21" i="7"/>
  <c r="G21" i="7"/>
  <c r="F21" i="7"/>
  <c r="E21" i="7"/>
  <c r="D21" i="7"/>
  <c r="C21" i="7"/>
  <c r="B21" i="7"/>
  <c r="A21" i="7"/>
  <c r="M20" i="7"/>
  <c r="I20" i="7"/>
  <c r="H20" i="7"/>
  <c r="G20" i="7"/>
  <c r="F20" i="7"/>
  <c r="E20" i="7"/>
  <c r="D20" i="7"/>
  <c r="C20" i="7"/>
  <c r="B20" i="7"/>
  <c r="A20" i="7"/>
  <c r="N19" i="7"/>
  <c r="M19" i="7"/>
  <c r="I19" i="7"/>
  <c r="H19" i="7"/>
  <c r="G19" i="7"/>
  <c r="F19" i="7"/>
  <c r="E19" i="7"/>
  <c r="D19" i="7"/>
  <c r="C19" i="7"/>
  <c r="B19" i="7"/>
  <c r="A19" i="7"/>
  <c r="N18" i="7"/>
  <c r="M18" i="7"/>
  <c r="I18" i="7"/>
  <c r="H18" i="7"/>
  <c r="G18" i="7"/>
  <c r="F18" i="7"/>
  <c r="E18" i="7"/>
  <c r="D18" i="7"/>
  <c r="C18" i="7"/>
  <c r="B18" i="7"/>
  <c r="A18" i="7"/>
  <c r="N17" i="7"/>
  <c r="M17" i="7"/>
  <c r="I17" i="7"/>
  <c r="H17" i="7"/>
  <c r="G17" i="7"/>
  <c r="F17" i="7"/>
  <c r="E17" i="7"/>
  <c r="D17" i="7"/>
  <c r="C17" i="7"/>
  <c r="B17" i="7"/>
  <c r="A17" i="7"/>
  <c r="N16" i="7"/>
  <c r="M16" i="7"/>
  <c r="I16" i="7"/>
  <c r="H16" i="7"/>
  <c r="G16" i="7"/>
  <c r="F16" i="7"/>
  <c r="E16" i="7"/>
  <c r="D16" i="7"/>
  <c r="C16" i="7"/>
  <c r="B16" i="7"/>
  <c r="A16" i="7"/>
  <c r="N15" i="7"/>
  <c r="M15" i="7"/>
  <c r="I15" i="7"/>
  <c r="H15" i="7"/>
  <c r="G15" i="7"/>
  <c r="F15" i="7"/>
  <c r="E15" i="7"/>
  <c r="D15" i="7"/>
  <c r="C15" i="7"/>
  <c r="B15" i="7"/>
  <c r="A15" i="7"/>
  <c r="N14" i="7"/>
  <c r="M14" i="7"/>
  <c r="I14" i="7"/>
  <c r="H14" i="7"/>
  <c r="G14" i="7"/>
  <c r="F14" i="7"/>
  <c r="E14" i="7"/>
  <c r="D14" i="7"/>
  <c r="C14" i="7"/>
  <c r="B14" i="7"/>
  <c r="A14" i="7"/>
  <c r="M13" i="7"/>
  <c r="I13" i="7"/>
  <c r="H13" i="7"/>
  <c r="G13" i="7"/>
  <c r="F13" i="7"/>
  <c r="E13" i="7"/>
  <c r="D13" i="7"/>
  <c r="C13" i="7"/>
  <c r="B13" i="7"/>
  <c r="A13" i="7"/>
  <c r="N12" i="7"/>
  <c r="M12" i="7"/>
  <c r="I12" i="7"/>
  <c r="H12" i="7"/>
  <c r="G12" i="7"/>
  <c r="F12" i="7"/>
  <c r="E12" i="7"/>
  <c r="D12" i="7"/>
  <c r="C12" i="7"/>
  <c r="B12" i="7"/>
  <c r="A12" i="7"/>
  <c r="N11" i="7"/>
  <c r="M11" i="7"/>
  <c r="I11" i="7"/>
  <c r="H11" i="7"/>
  <c r="G11" i="7"/>
  <c r="F11" i="7"/>
  <c r="E11" i="7"/>
  <c r="D11" i="7"/>
  <c r="C11" i="7"/>
  <c r="B11" i="7"/>
  <c r="A11" i="7"/>
  <c r="N10" i="7"/>
  <c r="M10" i="7"/>
  <c r="I10" i="7"/>
  <c r="H10" i="7"/>
  <c r="G10" i="7"/>
  <c r="F10" i="7"/>
  <c r="E10" i="7"/>
  <c r="D10" i="7"/>
  <c r="C10" i="7"/>
  <c r="B10" i="7"/>
  <c r="A10" i="7"/>
  <c r="N9" i="7"/>
  <c r="M9" i="7"/>
  <c r="I9" i="7"/>
  <c r="H9" i="7"/>
  <c r="G9" i="7"/>
  <c r="F9" i="7"/>
  <c r="E9" i="7"/>
  <c r="D9" i="7"/>
  <c r="C9" i="7"/>
  <c r="B9" i="7"/>
  <c r="A9" i="7"/>
  <c r="N8" i="7"/>
  <c r="M8" i="7"/>
  <c r="I8" i="7"/>
  <c r="H8" i="7"/>
  <c r="G8" i="7"/>
  <c r="F8" i="7"/>
  <c r="E8" i="7"/>
  <c r="D8" i="7"/>
  <c r="C8" i="7"/>
  <c r="B8" i="7"/>
  <c r="A8" i="7"/>
  <c r="N7" i="7"/>
  <c r="M7" i="7"/>
  <c r="I7" i="7"/>
  <c r="H7" i="7"/>
  <c r="G7" i="7"/>
  <c r="F7" i="7"/>
  <c r="E7" i="7"/>
  <c r="D7" i="7"/>
  <c r="C7" i="7"/>
  <c r="B7" i="7"/>
  <c r="A7" i="7"/>
  <c r="M6" i="7"/>
  <c r="I6" i="7"/>
  <c r="H6" i="7"/>
  <c r="G6" i="7"/>
  <c r="F6" i="7"/>
  <c r="E6" i="7"/>
  <c r="D6" i="7"/>
  <c r="C6" i="7"/>
  <c r="B6" i="7"/>
  <c r="A6" i="7"/>
  <c r="N5" i="7"/>
  <c r="M5" i="7"/>
  <c r="I5" i="7"/>
  <c r="H5" i="7"/>
  <c r="G5" i="7"/>
  <c r="F5" i="7"/>
  <c r="E5" i="7"/>
  <c r="D5" i="7"/>
  <c r="C5" i="7"/>
  <c r="B5" i="7"/>
  <c r="A5" i="7"/>
  <c r="N4" i="7"/>
  <c r="M4" i="7"/>
  <c r="I4" i="7"/>
  <c r="H4" i="7"/>
  <c r="G4" i="7"/>
  <c r="F4" i="7"/>
  <c r="E4" i="7"/>
  <c r="D4" i="7"/>
  <c r="C4" i="7"/>
  <c r="B4" i="7"/>
  <c r="A4" i="7"/>
  <c r="N3" i="7"/>
  <c r="M3" i="7"/>
  <c r="I3" i="7"/>
  <c r="H3" i="7"/>
  <c r="G3" i="7"/>
  <c r="F3" i="7"/>
  <c r="E3" i="7"/>
  <c r="D3" i="7"/>
  <c r="C3" i="7"/>
  <c r="B3" i="7"/>
  <c r="A3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N36" i="6"/>
  <c r="M36" i="6"/>
  <c r="H36" i="6"/>
  <c r="G36" i="6"/>
  <c r="F36" i="6"/>
  <c r="E36" i="6"/>
  <c r="D36" i="6"/>
  <c r="C36" i="6"/>
  <c r="B36" i="6"/>
  <c r="A36" i="6"/>
  <c r="M35" i="6"/>
  <c r="H35" i="6"/>
  <c r="G35" i="6"/>
  <c r="F35" i="6"/>
  <c r="E35" i="6"/>
  <c r="D35" i="6"/>
  <c r="C35" i="6"/>
  <c r="B35" i="6"/>
  <c r="A35" i="6"/>
  <c r="M34" i="6"/>
  <c r="H34" i="6"/>
  <c r="G34" i="6"/>
  <c r="F34" i="6"/>
  <c r="E34" i="6"/>
  <c r="D34" i="6"/>
  <c r="C34" i="6"/>
  <c r="B34" i="6"/>
  <c r="A34" i="6"/>
  <c r="M33" i="6"/>
  <c r="H33" i="6"/>
  <c r="G33" i="6"/>
  <c r="F33" i="6"/>
  <c r="E33" i="6"/>
  <c r="D33" i="6"/>
  <c r="C33" i="6"/>
  <c r="B33" i="6"/>
  <c r="A33" i="6"/>
  <c r="M32" i="6"/>
  <c r="H32" i="6"/>
  <c r="G32" i="6"/>
  <c r="F32" i="6"/>
  <c r="E32" i="6"/>
  <c r="D32" i="6"/>
  <c r="C32" i="6"/>
  <c r="B32" i="6"/>
  <c r="A32" i="6"/>
  <c r="N31" i="6"/>
  <c r="M31" i="6"/>
  <c r="H31" i="6"/>
  <c r="G31" i="6"/>
  <c r="F31" i="6"/>
  <c r="E31" i="6"/>
  <c r="D31" i="6"/>
  <c r="C31" i="6"/>
  <c r="B31" i="6"/>
  <c r="A31" i="6"/>
  <c r="M30" i="6"/>
  <c r="H30" i="6"/>
  <c r="G30" i="6"/>
  <c r="F30" i="6"/>
  <c r="E30" i="6"/>
  <c r="D30" i="6"/>
  <c r="C30" i="6"/>
  <c r="B30" i="6"/>
  <c r="A30" i="6"/>
  <c r="N29" i="6"/>
  <c r="M29" i="6"/>
  <c r="H29" i="6"/>
  <c r="G29" i="6"/>
  <c r="F29" i="6"/>
  <c r="E29" i="6"/>
  <c r="D29" i="6"/>
  <c r="C29" i="6"/>
  <c r="B29" i="6"/>
  <c r="A29" i="6"/>
  <c r="N28" i="6"/>
  <c r="M28" i="6"/>
  <c r="H28" i="6"/>
  <c r="G28" i="6"/>
  <c r="F28" i="6"/>
  <c r="E28" i="6"/>
  <c r="D28" i="6"/>
  <c r="C28" i="6"/>
  <c r="B28" i="6"/>
  <c r="A28" i="6"/>
  <c r="M27" i="6"/>
  <c r="H27" i="6"/>
  <c r="G27" i="6"/>
  <c r="F27" i="6"/>
  <c r="E27" i="6"/>
  <c r="D27" i="6"/>
  <c r="C27" i="6"/>
  <c r="B27" i="6"/>
  <c r="A27" i="6"/>
  <c r="M26" i="6"/>
  <c r="H26" i="6"/>
  <c r="G26" i="6"/>
  <c r="F26" i="6"/>
  <c r="E26" i="6"/>
  <c r="D26" i="6"/>
  <c r="C26" i="6"/>
  <c r="B26" i="6"/>
  <c r="A26" i="6"/>
  <c r="N25" i="6"/>
  <c r="M25" i="6"/>
  <c r="H25" i="6"/>
  <c r="G25" i="6"/>
  <c r="F25" i="6"/>
  <c r="E25" i="6"/>
  <c r="D25" i="6"/>
  <c r="C25" i="6"/>
  <c r="B25" i="6"/>
  <c r="A25" i="6"/>
  <c r="N24" i="6"/>
  <c r="M24" i="6"/>
  <c r="H24" i="6"/>
  <c r="G24" i="6"/>
  <c r="F24" i="6"/>
  <c r="E24" i="6"/>
  <c r="D24" i="6"/>
  <c r="C24" i="6"/>
  <c r="B24" i="6"/>
  <c r="A24" i="6"/>
  <c r="N23" i="6"/>
  <c r="M23" i="6"/>
  <c r="H23" i="6"/>
  <c r="G23" i="6"/>
  <c r="F23" i="6"/>
  <c r="E23" i="6"/>
  <c r="D23" i="6"/>
  <c r="C23" i="6"/>
  <c r="B23" i="6"/>
  <c r="A23" i="6"/>
  <c r="N22" i="6"/>
  <c r="M22" i="6"/>
  <c r="H22" i="6"/>
  <c r="G22" i="6"/>
  <c r="F22" i="6"/>
  <c r="E22" i="6"/>
  <c r="D22" i="6"/>
  <c r="C22" i="6"/>
  <c r="B22" i="6"/>
  <c r="A22" i="6"/>
  <c r="M21" i="6"/>
  <c r="H21" i="6"/>
  <c r="G21" i="6"/>
  <c r="F21" i="6"/>
  <c r="E21" i="6"/>
  <c r="D21" i="6"/>
  <c r="C21" i="6"/>
  <c r="B21" i="6"/>
  <c r="A21" i="6"/>
  <c r="N20" i="6"/>
  <c r="M20" i="6"/>
  <c r="H20" i="6"/>
  <c r="G20" i="6"/>
  <c r="F20" i="6"/>
  <c r="E20" i="6"/>
  <c r="D20" i="6"/>
  <c r="C20" i="6"/>
  <c r="B20" i="6"/>
  <c r="A20" i="6"/>
  <c r="M19" i="6"/>
  <c r="H19" i="6"/>
  <c r="G19" i="6"/>
  <c r="F19" i="6"/>
  <c r="E19" i="6"/>
  <c r="D19" i="6"/>
  <c r="C19" i="6"/>
  <c r="B19" i="6"/>
  <c r="A19" i="6"/>
  <c r="M18" i="6"/>
  <c r="H18" i="6"/>
  <c r="G18" i="6"/>
  <c r="F18" i="6"/>
  <c r="E18" i="6"/>
  <c r="D18" i="6"/>
  <c r="C18" i="6"/>
  <c r="B18" i="6"/>
  <c r="A18" i="6"/>
  <c r="M17" i="6"/>
  <c r="H17" i="6"/>
  <c r="G17" i="6"/>
  <c r="F17" i="6"/>
  <c r="E17" i="6"/>
  <c r="D17" i="6"/>
  <c r="C17" i="6"/>
  <c r="B17" i="6"/>
  <c r="A17" i="6"/>
  <c r="M16" i="6"/>
  <c r="H16" i="6"/>
  <c r="G16" i="6"/>
  <c r="F16" i="6"/>
  <c r="E16" i="6"/>
  <c r="D16" i="6"/>
  <c r="C16" i="6"/>
  <c r="B16" i="6"/>
  <c r="A16" i="6"/>
  <c r="N15" i="6"/>
  <c r="M15" i="6"/>
  <c r="H15" i="6"/>
  <c r="G15" i="6"/>
  <c r="F15" i="6"/>
  <c r="E15" i="6"/>
  <c r="D15" i="6"/>
  <c r="C15" i="6"/>
  <c r="B15" i="6"/>
  <c r="A15" i="6"/>
  <c r="N14" i="6"/>
  <c r="M14" i="6"/>
  <c r="H14" i="6"/>
  <c r="G14" i="6"/>
  <c r="F14" i="6"/>
  <c r="E14" i="6"/>
  <c r="D14" i="6"/>
  <c r="C14" i="6"/>
  <c r="B14" i="6"/>
  <c r="A14" i="6"/>
  <c r="N13" i="6"/>
  <c r="M13" i="6"/>
  <c r="H13" i="6"/>
  <c r="G13" i="6"/>
  <c r="F13" i="6"/>
  <c r="E13" i="6"/>
  <c r="D13" i="6"/>
  <c r="C13" i="6"/>
  <c r="B13" i="6"/>
  <c r="A13" i="6"/>
  <c r="N12" i="6"/>
  <c r="M12" i="6"/>
  <c r="H12" i="6"/>
  <c r="G12" i="6"/>
  <c r="F12" i="6"/>
  <c r="E12" i="6"/>
  <c r="D12" i="6"/>
  <c r="C12" i="6"/>
  <c r="B12" i="6"/>
  <c r="A12" i="6"/>
  <c r="N11" i="6"/>
  <c r="M11" i="6"/>
  <c r="H11" i="6"/>
  <c r="G11" i="6"/>
  <c r="F11" i="6"/>
  <c r="E11" i="6"/>
  <c r="D11" i="6"/>
  <c r="C11" i="6"/>
  <c r="B11" i="6"/>
  <c r="A11" i="6"/>
  <c r="M10" i="6"/>
  <c r="H10" i="6"/>
  <c r="G10" i="6"/>
  <c r="F10" i="6"/>
  <c r="E10" i="6"/>
  <c r="D10" i="6"/>
  <c r="C10" i="6"/>
  <c r="B10" i="6"/>
  <c r="A10" i="6"/>
  <c r="M9" i="6"/>
  <c r="H9" i="6"/>
  <c r="G9" i="6"/>
  <c r="F9" i="6"/>
  <c r="E9" i="6"/>
  <c r="D9" i="6"/>
  <c r="C9" i="6"/>
  <c r="B9" i="6"/>
  <c r="A9" i="6"/>
  <c r="M8" i="6"/>
  <c r="H8" i="6"/>
  <c r="G8" i="6"/>
  <c r="F8" i="6"/>
  <c r="E8" i="6"/>
  <c r="D8" i="6"/>
  <c r="C8" i="6"/>
  <c r="B8" i="6"/>
  <c r="A8" i="6"/>
  <c r="M7" i="6"/>
  <c r="H7" i="6"/>
  <c r="G7" i="6"/>
  <c r="F7" i="6"/>
  <c r="E7" i="6"/>
  <c r="D7" i="6"/>
  <c r="C7" i="6"/>
  <c r="B7" i="6"/>
  <c r="A7" i="6"/>
  <c r="M6" i="6"/>
  <c r="H6" i="6"/>
  <c r="G6" i="6"/>
  <c r="F6" i="6"/>
  <c r="E6" i="6"/>
  <c r="D6" i="6"/>
  <c r="C6" i="6"/>
  <c r="B6" i="6"/>
  <c r="A6" i="6"/>
  <c r="M5" i="6"/>
  <c r="H5" i="6"/>
  <c r="G5" i="6"/>
  <c r="F5" i="6"/>
  <c r="E5" i="6"/>
  <c r="D5" i="6"/>
  <c r="C5" i="6"/>
  <c r="B5" i="6"/>
  <c r="A5" i="6"/>
  <c r="N4" i="6"/>
  <c r="M4" i="6"/>
  <c r="H4" i="6"/>
  <c r="G4" i="6"/>
  <c r="F4" i="6"/>
  <c r="E4" i="6"/>
  <c r="D4" i="6"/>
  <c r="C4" i="6"/>
  <c r="B4" i="6"/>
  <c r="A4" i="6"/>
  <c r="N3" i="6"/>
  <c r="M3" i="6"/>
  <c r="H3" i="6"/>
  <c r="G3" i="6"/>
  <c r="F3" i="6"/>
  <c r="E3" i="6"/>
  <c r="D3" i="6"/>
  <c r="C3" i="6"/>
  <c r="B3" i="6"/>
  <c r="A3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N21" i="5"/>
  <c r="M21" i="5"/>
  <c r="I21" i="5"/>
  <c r="H21" i="5"/>
  <c r="G21" i="5"/>
  <c r="F21" i="5"/>
  <c r="E21" i="5"/>
  <c r="D21" i="5"/>
  <c r="C21" i="5"/>
  <c r="B21" i="5"/>
  <c r="A21" i="5"/>
  <c r="N20" i="5"/>
  <c r="M20" i="5"/>
  <c r="I20" i="5"/>
  <c r="H20" i="5"/>
  <c r="G20" i="5"/>
  <c r="F20" i="5"/>
  <c r="E20" i="5"/>
  <c r="D20" i="5"/>
  <c r="C20" i="5"/>
  <c r="B20" i="5"/>
  <c r="A20" i="5"/>
  <c r="N19" i="5"/>
  <c r="M19" i="5"/>
  <c r="I19" i="5"/>
  <c r="H19" i="5"/>
  <c r="G19" i="5"/>
  <c r="F19" i="5"/>
  <c r="E19" i="5"/>
  <c r="D19" i="5"/>
  <c r="C19" i="5"/>
  <c r="B19" i="5"/>
  <c r="A19" i="5"/>
  <c r="M18" i="5"/>
  <c r="I18" i="5"/>
  <c r="H18" i="5"/>
  <c r="G18" i="5"/>
  <c r="F18" i="5"/>
  <c r="E18" i="5"/>
  <c r="D18" i="5"/>
  <c r="C18" i="5"/>
  <c r="B18" i="5"/>
  <c r="A18" i="5"/>
  <c r="N17" i="5"/>
  <c r="M17" i="5"/>
  <c r="I17" i="5"/>
  <c r="H17" i="5"/>
  <c r="G17" i="5"/>
  <c r="F17" i="5"/>
  <c r="E17" i="5"/>
  <c r="D17" i="5"/>
  <c r="C17" i="5"/>
  <c r="B17" i="5"/>
  <c r="A17" i="5"/>
  <c r="N16" i="5"/>
  <c r="M16" i="5"/>
  <c r="I16" i="5"/>
  <c r="H16" i="5"/>
  <c r="G16" i="5"/>
  <c r="F16" i="5"/>
  <c r="E16" i="5"/>
  <c r="D16" i="5"/>
  <c r="C16" i="5"/>
  <c r="B16" i="5"/>
  <c r="A16" i="5"/>
  <c r="N15" i="5"/>
  <c r="M15" i="5"/>
  <c r="I15" i="5"/>
  <c r="H15" i="5"/>
  <c r="G15" i="5"/>
  <c r="F15" i="5"/>
  <c r="E15" i="5"/>
  <c r="D15" i="5"/>
  <c r="C15" i="5"/>
  <c r="B15" i="5"/>
  <c r="A15" i="5"/>
  <c r="N14" i="5"/>
  <c r="M14" i="5"/>
  <c r="I14" i="5"/>
  <c r="H14" i="5"/>
  <c r="G14" i="5"/>
  <c r="F14" i="5"/>
  <c r="E14" i="5"/>
  <c r="D14" i="5"/>
  <c r="C14" i="5"/>
  <c r="B14" i="5"/>
  <c r="A14" i="5"/>
  <c r="M13" i="5"/>
  <c r="I13" i="5"/>
  <c r="H13" i="5"/>
  <c r="G13" i="5"/>
  <c r="F13" i="5"/>
  <c r="E13" i="5"/>
  <c r="D13" i="5"/>
  <c r="C13" i="5"/>
  <c r="B13" i="5"/>
  <c r="A13" i="5"/>
  <c r="N12" i="5"/>
  <c r="M12" i="5"/>
  <c r="I12" i="5"/>
  <c r="H12" i="5"/>
  <c r="G12" i="5"/>
  <c r="F12" i="5"/>
  <c r="E12" i="5"/>
  <c r="D12" i="5"/>
  <c r="C12" i="5"/>
  <c r="B12" i="5"/>
  <c r="A12" i="5"/>
  <c r="N11" i="5"/>
  <c r="M11" i="5"/>
  <c r="I11" i="5"/>
  <c r="H11" i="5"/>
  <c r="G11" i="5"/>
  <c r="F11" i="5"/>
  <c r="E11" i="5"/>
  <c r="D11" i="5"/>
  <c r="C11" i="5"/>
  <c r="B11" i="5"/>
  <c r="A11" i="5"/>
  <c r="N10" i="5"/>
  <c r="M10" i="5"/>
  <c r="I10" i="5"/>
  <c r="H10" i="5"/>
  <c r="G10" i="5"/>
  <c r="F10" i="5"/>
  <c r="E10" i="5"/>
  <c r="D10" i="5"/>
  <c r="C10" i="5"/>
  <c r="B10" i="5"/>
  <c r="A10" i="5"/>
  <c r="N9" i="5"/>
  <c r="M9" i="5"/>
  <c r="I9" i="5"/>
  <c r="H9" i="5"/>
  <c r="G9" i="5"/>
  <c r="F9" i="5"/>
  <c r="E9" i="5"/>
  <c r="D9" i="5"/>
  <c r="C9" i="5"/>
  <c r="B9" i="5"/>
  <c r="A9" i="5"/>
  <c r="N8" i="5"/>
  <c r="M8" i="5"/>
  <c r="I8" i="5"/>
  <c r="H8" i="5"/>
  <c r="G8" i="5"/>
  <c r="F8" i="5"/>
  <c r="E8" i="5"/>
  <c r="D8" i="5"/>
  <c r="C8" i="5"/>
  <c r="B8" i="5"/>
  <c r="A8" i="5"/>
  <c r="M7" i="5"/>
  <c r="I7" i="5"/>
  <c r="H7" i="5"/>
  <c r="G7" i="5"/>
  <c r="F7" i="5"/>
  <c r="E7" i="5"/>
  <c r="D7" i="5"/>
  <c r="C7" i="5"/>
  <c r="B7" i="5"/>
  <c r="A7" i="5"/>
  <c r="M6" i="5"/>
  <c r="I6" i="5"/>
  <c r="H6" i="5"/>
  <c r="G6" i="5"/>
  <c r="F6" i="5"/>
  <c r="E6" i="5"/>
  <c r="D6" i="5"/>
  <c r="C6" i="5"/>
  <c r="B6" i="5"/>
  <c r="A6" i="5"/>
  <c r="N5" i="5"/>
  <c r="M5" i="5"/>
  <c r="I5" i="5"/>
  <c r="H5" i="5"/>
  <c r="G5" i="5"/>
  <c r="F5" i="5"/>
  <c r="E5" i="5"/>
  <c r="D5" i="5"/>
  <c r="C5" i="5"/>
  <c r="B5" i="5"/>
  <c r="A5" i="5"/>
  <c r="N4" i="5"/>
  <c r="M4" i="5"/>
  <c r="I4" i="5"/>
  <c r="H4" i="5"/>
  <c r="G4" i="5"/>
  <c r="F4" i="5"/>
  <c r="E4" i="5"/>
  <c r="D4" i="5"/>
  <c r="C4" i="5"/>
  <c r="B4" i="5"/>
  <c r="A4" i="5"/>
  <c r="N3" i="5"/>
  <c r="M3" i="5"/>
  <c r="I3" i="5"/>
  <c r="H3" i="5"/>
  <c r="G3" i="5"/>
  <c r="F3" i="5"/>
  <c r="E3" i="5"/>
  <c r="D3" i="5"/>
  <c r="C3" i="5"/>
  <c r="B3" i="5"/>
  <c r="A3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  <c r="I70" i="3"/>
  <c r="H70" i="3"/>
  <c r="G70" i="3"/>
  <c r="F70" i="3"/>
  <c r="E70" i="3"/>
  <c r="D70" i="3"/>
  <c r="C70" i="3"/>
  <c r="B70" i="3"/>
  <c r="A70" i="3"/>
  <c r="N69" i="3"/>
  <c r="M69" i="3"/>
  <c r="I69" i="3"/>
  <c r="H69" i="3"/>
  <c r="G69" i="3"/>
  <c r="F69" i="3"/>
  <c r="E69" i="3"/>
  <c r="D69" i="3"/>
  <c r="C69" i="3"/>
  <c r="B69" i="3"/>
  <c r="A69" i="3"/>
  <c r="M68" i="3"/>
  <c r="I68" i="3"/>
  <c r="H68" i="3"/>
  <c r="G68" i="3"/>
  <c r="F68" i="3"/>
  <c r="E68" i="3"/>
  <c r="D68" i="3"/>
  <c r="C68" i="3"/>
  <c r="B68" i="3"/>
  <c r="A68" i="3"/>
  <c r="N67" i="3"/>
  <c r="M67" i="3"/>
  <c r="I67" i="3"/>
  <c r="H67" i="3"/>
  <c r="G67" i="3"/>
  <c r="F67" i="3"/>
  <c r="E67" i="3"/>
  <c r="D67" i="3"/>
  <c r="C67" i="3"/>
  <c r="B67" i="3"/>
  <c r="A67" i="3"/>
  <c r="M66" i="3"/>
  <c r="I66" i="3"/>
  <c r="H66" i="3"/>
  <c r="G66" i="3"/>
  <c r="F66" i="3"/>
  <c r="E66" i="3"/>
  <c r="D66" i="3"/>
  <c r="C66" i="3"/>
  <c r="B66" i="3"/>
  <c r="A66" i="3"/>
  <c r="M65" i="3"/>
  <c r="I65" i="3"/>
  <c r="H65" i="3"/>
  <c r="G65" i="3"/>
  <c r="F65" i="3"/>
  <c r="E65" i="3"/>
  <c r="D65" i="3"/>
  <c r="C65" i="3"/>
  <c r="B65" i="3"/>
  <c r="A65" i="3"/>
  <c r="N64" i="3"/>
  <c r="M64" i="3"/>
  <c r="I64" i="3"/>
  <c r="H64" i="3"/>
  <c r="G64" i="3"/>
  <c r="F64" i="3"/>
  <c r="E64" i="3"/>
  <c r="D64" i="3"/>
  <c r="C64" i="3"/>
  <c r="B64" i="3"/>
  <c r="A64" i="3"/>
  <c r="N63" i="3"/>
  <c r="M63" i="3"/>
  <c r="I63" i="3"/>
  <c r="H63" i="3"/>
  <c r="G63" i="3"/>
  <c r="F63" i="3"/>
  <c r="E63" i="3"/>
  <c r="D63" i="3"/>
  <c r="C63" i="3"/>
  <c r="B63" i="3"/>
  <c r="A63" i="3"/>
  <c r="N62" i="3"/>
  <c r="M62" i="3"/>
  <c r="I62" i="3"/>
  <c r="H62" i="3"/>
  <c r="G62" i="3"/>
  <c r="F62" i="3"/>
  <c r="E62" i="3"/>
  <c r="D62" i="3"/>
  <c r="C62" i="3"/>
  <c r="B62" i="3"/>
  <c r="A62" i="3"/>
  <c r="M61" i="3"/>
  <c r="I61" i="3"/>
  <c r="H61" i="3"/>
  <c r="G61" i="3"/>
  <c r="F61" i="3"/>
  <c r="E61" i="3"/>
  <c r="D61" i="3"/>
  <c r="C61" i="3"/>
  <c r="B61" i="3"/>
  <c r="A61" i="3"/>
  <c r="N60" i="3"/>
  <c r="M60" i="3"/>
  <c r="I60" i="3"/>
  <c r="H60" i="3"/>
  <c r="G60" i="3"/>
  <c r="F60" i="3"/>
  <c r="E60" i="3"/>
  <c r="D60" i="3"/>
  <c r="C60" i="3"/>
  <c r="B60" i="3"/>
  <c r="A60" i="3"/>
  <c r="N59" i="3"/>
  <c r="M59" i="3"/>
  <c r="I59" i="3"/>
  <c r="H59" i="3"/>
  <c r="G59" i="3"/>
  <c r="F59" i="3"/>
  <c r="E59" i="3"/>
  <c r="D59" i="3"/>
  <c r="C59" i="3"/>
  <c r="B59" i="3"/>
  <c r="A59" i="3"/>
  <c r="M58" i="3"/>
  <c r="I58" i="3"/>
  <c r="H58" i="3"/>
  <c r="G58" i="3"/>
  <c r="F58" i="3"/>
  <c r="E58" i="3"/>
  <c r="D58" i="3"/>
  <c r="C58" i="3"/>
  <c r="B58" i="3"/>
  <c r="A58" i="3"/>
  <c r="N57" i="3"/>
  <c r="M57" i="3"/>
  <c r="I57" i="3"/>
  <c r="H57" i="3"/>
  <c r="G57" i="3"/>
  <c r="F57" i="3"/>
  <c r="E57" i="3"/>
  <c r="D57" i="3"/>
  <c r="C57" i="3"/>
  <c r="B57" i="3"/>
  <c r="A57" i="3"/>
  <c r="N56" i="3"/>
  <c r="M56" i="3"/>
  <c r="I56" i="3"/>
  <c r="H56" i="3"/>
  <c r="G56" i="3"/>
  <c r="F56" i="3"/>
  <c r="E56" i="3"/>
  <c r="D56" i="3"/>
  <c r="C56" i="3"/>
  <c r="B56" i="3"/>
  <c r="A56" i="3"/>
  <c r="M55" i="3"/>
  <c r="I55" i="3"/>
  <c r="H55" i="3"/>
  <c r="G55" i="3"/>
  <c r="F55" i="3"/>
  <c r="E55" i="3"/>
  <c r="D55" i="3"/>
  <c r="C55" i="3"/>
  <c r="B55" i="3"/>
  <c r="A55" i="3"/>
  <c r="N54" i="3"/>
  <c r="M54" i="3"/>
  <c r="I54" i="3"/>
  <c r="H54" i="3"/>
  <c r="G54" i="3"/>
  <c r="F54" i="3"/>
  <c r="E54" i="3"/>
  <c r="D54" i="3"/>
  <c r="C54" i="3"/>
  <c r="B54" i="3"/>
  <c r="A54" i="3"/>
  <c r="N53" i="3"/>
  <c r="M53" i="3"/>
  <c r="I53" i="3"/>
  <c r="H53" i="3"/>
  <c r="G53" i="3"/>
  <c r="F53" i="3"/>
  <c r="E53" i="3"/>
  <c r="D53" i="3"/>
  <c r="C53" i="3"/>
  <c r="B53" i="3"/>
  <c r="A53" i="3"/>
  <c r="N52" i="3"/>
  <c r="M52" i="3"/>
  <c r="I52" i="3"/>
  <c r="H52" i="3"/>
  <c r="G52" i="3"/>
  <c r="F52" i="3"/>
  <c r="E52" i="3"/>
  <c r="D52" i="3"/>
  <c r="C52" i="3"/>
  <c r="B52" i="3"/>
  <c r="A52" i="3"/>
  <c r="N51" i="3"/>
  <c r="M51" i="3"/>
  <c r="I51" i="3"/>
  <c r="H51" i="3"/>
  <c r="G51" i="3"/>
  <c r="F51" i="3"/>
  <c r="E51" i="3"/>
  <c r="D51" i="3"/>
  <c r="C51" i="3"/>
  <c r="B51" i="3"/>
  <c r="A51" i="3"/>
  <c r="N50" i="3"/>
  <c r="M50" i="3"/>
  <c r="I50" i="3"/>
  <c r="H50" i="3"/>
  <c r="G50" i="3"/>
  <c r="F50" i="3"/>
  <c r="E50" i="3"/>
  <c r="D50" i="3"/>
  <c r="C50" i="3"/>
  <c r="B50" i="3"/>
  <c r="A50" i="3"/>
  <c r="M49" i="3"/>
  <c r="I49" i="3"/>
  <c r="H49" i="3"/>
  <c r="G49" i="3"/>
  <c r="F49" i="3"/>
  <c r="E49" i="3"/>
  <c r="D49" i="3"/>
  <c r="C49" i="3"/>
  <c r="B49" i="3"/>
  <c r="A49" i="3"/>
  <c r="M48" i="3"/>
  <c r="I48" i="3"/>
  <c r="H48" i="3"/>
  <c r="G48" i="3"/>
  <c r="F48" i="3"/>
  <c r="E48" i="3"/>
  <c r="D48" i="3"/>
  <c r="C48" i="3"/>
  <c r="B48" i="3"/>
  <c r="A48" i="3"/>
  <c r="M47" i="3"/>
  <c r="I47" i="3"/>
  <c r="H47" i="3"/>
  <c r="G47" i="3"/>
  <c r="F47" i="3"/>
  <c r="E47" i="3"/>
  <c r="D47" i="3"/>
  <c r="C47" i="3"/>
  <c r="B47" i="3"/>
  <c r="A47" i="3"/>
  <c r="N46" i="3"/>
  <c r="M46" i="3"/>
  <c r="I46" i="3"/>
  <c r="H46" i="3"/>
  <c r="G46" i="3"/>
  <c r="F46" i="3"/>
  <c r="E46" i="3"/>
  <c r="D46" i="3"/>
  <c r="C46" i="3"/>
  <c r="B46" i="3"/>
  <c r="A46" i="3"/>
  <c r="N45" i="3"/>
  <c r="M45" i="3"/>
  <c r="I45" i="3"/>
  <c r="H45" i="3"/>
  <c r="G45" i="3"/>
  <c r="F45" i="3"/>
  <c r="E45" i="3"/>
  <c r="D45" i="3"/>
  <c r="C45" i="3"/>
  <c r="B45" i="3"/>
  <c r="A45" i="3"/>
  <c r="N44" i="3"/>
  <c r="M44" i="3"/>
  <c r="I44" i="3"/>
  <c r="H44" i="3"/>
  <c r="G44" i="3"/>
  <c r="F44" i="3"/>
  <c r="E44" i="3"/>
  <c r="D44" i="3"/>
  <c r="C44" i="3"/>
  <c r="B44" i="3"/>
  <c r="A44" i="3"/>
  <c r="N43" i="3"/>
  <c r="M43" i="3"/>
  <c r="I43" i="3"/>
  <c r="H43" i="3"/>
  <c r="G43" i="3"/>
  <c r="F43" i="3"/>
  <c r="E43" i="3"/>
  <c r="D43" i="3"/>
  <c r="C43" i="3"/>
  <c r="B43" i="3"/>
  <c r="A43" i="3"/>
  <c r="N42" i="3"/>
  <c r="M42" i="3"/>
  <c r="I42" i="3"/>
  <c r="H42" i="3"/>
  <c r="G42" i="3"/>
  <c r="F42" i="3"/>
  <c r="E42" i="3"/>
  <c r="D42" i="3"/>
  <c r="C42" i="3"/>
  <c r="B42" i="3"/>
  <c r="A42" i="3"/>
  <c r="M41" i="3"/>
  <c r="I41" i="3"/>
  <c r="H41" i="3"/>
  <c r="G41" i="3"/>
  <c r="F41" i="3"/>
  <c r="E41" i="3"/>
  <c r="D41" i="3"/>
  <c r="C41" i="3"/>
  <c r="B41" i="3"/>
  <c r="A41" i="3"/>
  <c r="M40" i="3"/>
  <c r="I40" i="3"/>
  <c r="H40" i="3"/>
  <c r="G40" i="3"/>
  <c r="F40" i="3"/>
  <c r="E40" i="3"/>
  <c r="D40" i="3"/>
  <c r="C40" i="3"/>
  <c r="B40" i="3"/>
  <c r="A40" i="3"/>
  <c r="N39" i="3"/>
  <c r="M39" i="3"/>
  <c r="I39" i="3"/>
  <c r="H39" i="3"/>
  <c r="G39" i="3"/>
  <c r="F39" i="3"/>
  <c r="E39" i="3"/>
  <c r="D39" i="3"/>
  <c r="C39" i="3"/>
  <c r="B39" i="3"/>
  <c r="A39" i="3"/>
  <c r="N38" i="3"/>
  <c r="M38" i="3"/>
  <c r="I38" i="3"/>
  <c r="H38" i="3"/>
  <c r="G38" i="3"/>
  <c r="F38" i="3"/>
  <c r="E38" i="3"/>
  <c r="D38" i="3"/>
  <c r="C38" i="3"/>
  <c r="B38" i="3"/>
  <c r="A38" i="3"/>
  <c r="N37" i="3"/>
  <c r="M37" i="3"/>
  <c r="I37" i="3"/>
  <c r="H37" i="3"/>
  <c r="G37" i="3"/>
  <c r="F37" i="3"/>
  <c r="E37" i="3"/>
  <c r="D37" i="3"/>
  <c r="C37" i="3"/>
  <c r="B37" i="3"/>
  <c r="A37" i="3"/>
  <c r="N36" i="3"/>
  <c r="M36" i="3"/>
  <c r="I36" i="3"/>
  <c r="H36" i="3"/>
  <c r="G36" i="3"/>
  <c r="F36" i="3"/>
  <c r="E36" i="3"/>
  <c r="D36" i="3"/>
  <c r="C36" i="3"/>
  <c r="B36" i="3"/>
  <c r="A36" i="3"/>
  <c r="N35" i="3"/>
  <c r="M35" i="3"/>
  <c r="I35" i="3"/>
  <c r="H35" i="3"/>
  <c r="G35" i="3"/>
  <c r="F35" i="3"/>
  <c r="E35" i="3"/>
  <c r="D35" i="3"/>
  <c r="C35" i="3"/>
  <c r="B35" i="3"/>
  <c r="A35" i="3"/>
  <c r="N34" i="3"/>
  <c r="M34" i="3"/>
  <c r="I34" i="3"/>
  <c r="H34" i="3"/>
  <c r="G34" i="3"/>
  <c r="F34" i="3"/>
  <c r="E34" i="3"/>
  <c r="D34" i="3"/>
  <c r="C34" i="3"/>
  <c r="B34" i="3"/>
  <c r="A34" i="3"/>
  <c r="N33" i="3"/>
  <c r="M33" i="3"/>
  <c r="I33" i="3"/>
  <c r="H33" i="3"/>
  <c r="G33" i="3"/>
  <c r="F33" i="3"/>
  <c r="E33" i="3"/>
  <c r="D33" i="3"/>
  <c r="C33" i="3"/>
  <c r="B33" i="3"/>
  <c r="A33" i="3"/>
  <c r="N32" i="3"/>
  <c r="M32" i="3"/>
  <c r="I32" i="3"/>
  <c r="H32" i="3"/>
  <c r="G32" i="3"/>
  <c r="F32" i="3"/>
  <c r="E32" i="3"/>
  <c r="D32" i="3"/>
  <c r="C32" i="3"/>
  <c r="B32" i="3"/>
  <c r="A32" i="3"/>
  <c r="N31" i="3"/>
  <c r="M31" i="3"/>
  <c r="I31" i="3"/>
  <c r="H31" i="3"/>
  <c r="G31" i="3"/>
  <c r="F31" i="3"/>
  <c r="E31" i="3"/>
  <c r="D31" i="3"/>
  <c r="C31" i="3"/>
  <c r="B31" i="3"/>
  <c r="A31" i="3"/>
  <c r="M30" i="3"/>
  <c r="I30" i="3"/>
  <c r="H30" i="3"/>
  <c r="G30" i="3"/>
  <c r="F30" i="3"/>
  <c r="E30" i="3"/>
  <c r="D30" i="3"/>
  <c r="C30" i="3"/>
  <c r="B30" i="3"/>
  <c r="A30" i="3"/>
  <c r="M29" i="3"/>
  <c r="I29" i="3"/>
  <c r="H29" i="3"/>
  <c r="G29" i="3"/>
  <c r="F29" i="3"/>
  <c r="E29" i="3"/>
  <c r="D29" i="3"/>
  <c r="C29" i="3"/>
  <c r="B29" i="3"/>
  <c r="A29" i="3"/>
  <c r="M28" i="3"/>
  <c r="I28" i="3"/>
  <c r="H28" i="3"/>
  <c r="G28" i="3"/>
  <c r="F28" i="3"/>
  <c r="E28" i="3"/>
  <c r="D28" i="3"/>
  <c r="C28" i="3"/>
  <c r="B28" i="3"/>
  <c r="A28" i="3"/>
  <c r="M27" i="3"/>
  <c r="I27" i="3"/>
  <c r="H27" i="3"/>
  <c r="G27" i="3"/>
  <c r="F27" i="3"/>
  <c r="E27" i="3"/>
  <c r="D27" i="3"/>
  <c r="C27" i="3"/>
  <c r="B27" i="3"/>
  <c r="A27" i="3"/>
  <c r="N26" i="3"/>
  <c r="M26" i="3"/>
  <c r="I26" i="3"/>
  <c r="H26" i="3"/>
  <c r="G26" i="3"/>
  <c r="F26" i="3"/>
  <c r="E26" i="3"/>
  <c r="D26" i="3"/>
  <c r="C26" i="3"/>
  <c r="B26" i="3"/>
  <c r="A26" i="3"/>
  <c r="N25" i="3"/>
  <c r="M25" i="3"/>
  <c r="I25" i="3"/>
  <c r="H25" i="3"/>
  <c r="G25" i="3"/>
  <c r="F25" i="3"/>
  <c r="E25" i="3"/>
  <c r="D25" i="3"/>
  <c r="C25" i="3"/>
  <c r="B25" i="3"/>
  <c r="A25" i="3"/>
  <c r="M24" i="3"/>
  <c r="I24" i="3"/>
  <c r="H24" i="3"/>
  <c r="G24" i="3"/>
  <c r="F24" i="3"/>
  <c r="E24" i="3"/>
  <c r="D24" i="3"/>
  <c r="C24" i="3"/>
  <c r="B24" i="3"/>
  <c r="A24" i="3"/>
  <c r="M23" i="3"/>
  <c r="I23" i="3"/>
  <c r="H23" i="3"/>
  <c r="G23" i="3"/>
  <c r="F23" i="3"/>
  <c r="E23" i="3"/>
  <c r="D23" i="3"/>
  <c r="C23" i="3"/>
  <c r="B23" i="3"/>
  <c r="A23" i="3"/>
  <c r="N22" i="3"/>
  <c r="M22" i="3"/>
  <c r="I22" i="3"/>
  <c r="H22" i="3"/>
  <c r="G22" i="3"/>
  <c r="F22" i="3"/>
  <c r="E22" i="3"/>
  <c r="D22" i="3"/>
  <c r="C22" i="3"/>
  <c r="B22" i="3"/>
  <c r="A22" i="3"/>
  <c r="N21" i="3"/>
  <c r="M21" i="3"/>
  <c r="I21" i="3"/>
  <c r="H21" i="3"/>
  <c r="G21" i="3"/>
  <c r="F21" i="3"/>
  <c r="E21" i="3"/>
  <c r="D21" i="3"/>
  <c r="C21" i="3"/>
  <c r="B21" i="3"/>
  <c r="A21" i="3"/>
  <c r="N20" i="3"/>
  <c r="M20" i="3"/>
  <c r="I20" i="3"/>
  <c r="H20" i="3"/>
  <c r="G20" i="3"/>
  <c r="F20" i="3"/>
  <c r="E20" i="3"/>
  <c r="D20" i="3"/>
  <c r="C20" i="3"/>
  <c r="B20" i="3"/>
  <c r="A20" i="3"/>
  <c r="M19" i="3"/>
  <c r="I19" i="3"/>
  <c r="H19" i="3"/>
  <c r="G19" i="3"/>
  <c r="F19" i="3"/>
  <c r="E19" i="3"/>
  <c r="D19" i="3"/>
  <c r="C19" i="3"/>
  <c r="B19" i="3"/>
  <c r="A19" i="3"/>
  <c r="N18" i="3"/>
  <c r="M18" i="3"/>
  <c r="I18" i="3"/>
  <c r="H18" i="3"/>
  <c r="G18" i="3"/>
  <c r="F18" i="3"/>
  <c r="E18" i="3"/>
  <c r="D18" i="3"/>
  <c r="C18" i="3"/>
  <c r="B18" i="3"/>
  <c r="A18" i="3"/>
  <c r="N17" i="3"/>
  <c r="M17" i="3"/>
  <c r="I17" i="3"/>
  <c r="H17" i="3"/>
  <c r="G17" i="3"/>
  <c r="F17" i="3"/>
  <c r="E17" i="3"/>
  <c r="D17" i="3"/>
  <c r="C17" i="3"/>
  <c r="B17" i="3"/>
  <c r="A17" i="3"/>
  <c r="N16" i="3"/>
  <c r="M16" i="3"/>
  <c r="I16" i="3"/>
  <c r="H16" i="3"/>
  <c r="G16" i="3"/>
  <c r="F16" i="3"/>
  <c r="E16" i="3"/>
  <c r="D16" i="3"/>
  <c r="C16" i="3"/>
  <c r="B16" i="3"/>
  <c r="A16" i="3"/>
  <c r="N15" i="3"/>
  <c r="M15" i="3"/>
  <c r="I15" i="3"/>
  <c r="H15" i="3"/>
  <c r="G15" i="3"/>
  <c r="F15" i="3"/>
  <c r="E15" i="3"/>
  <c r="D15" i="3"/>
  <c r="C15" i="3"/>
  <c r="B15" i="3"/>
  <c r="A15" i="3"/>
  <c r="N14" i="3"/>
  <c r="M14" i="3"/>
  <c r="I14" i="3"/>
  <c r="H14" i="3"/>
  <c r="G14" i="3"/>
  <c r="F14" i="3"/>
  <c r="E14" i="3"/>
  <c r="D14" i="3"/>
  <c r="C14" i="3"/>
  <c r="B14" i="3"/>
  <c r="A14" i="3"/>
  <c r="M13" i="3"/>
  <c r="I13" i="3"/>
  <c r="H13" i="3"/>
  <c r="G13" i="3"/>
  <c r="F13" i="3"/>
  <c r="E13" i="3"/>
  <c r="D13" i="3"/>
  <c r="C13" i="3"/>
  <c r="B13" i="3"/>
  <c r="A13" i="3"/>
  <c r="M12" i="3"/>
  <c r="I12" i="3"/>
  <c r="H12" i="3"/>
  <c r="G12" i="3"/>
  <c r="F12" i="3"/>
  <c r="E12" i="3"/>
  <c r="D12" i="3"/>
  <c r="C12" i="3"/>
  <c r="B12" i="3"/>
  <c r="A12" i="3"/>
  <c r="N11" i="3"/>
  <c r="M11" i="3"/>
  <c r="I11" i="3"/>
  <c r="H11" i="3"/>
  <c r="G11" i="3"/>
  <c r="F11" i="3"/>
  <c r="E11" i="3"/>
  <c r="D11" i="3"/>
  <c r="C11" i="3"/>
  <c r="B11" i="3"/>
  <c r="A11" i="3"/>
  <c r="N10" i="3"/>
  <c r="M10" i="3"/>
  <c r="I10" i="3"/>
  <c r="H10" i="3"/>
  <c r="G10" i="3"/>
  <c r="F10" i="3"/>
  <c r="E10" i="3"/>
  <c r="D10" i="3"/>
  <c r="C10" i="3"/>
  <c r="B10" i="3"/>
  <c r="A10" i="3"/>
  <c r="N9" i="3"/>
  <c r="M9" i="3"/>
  <c r="I9" i="3"/>
  <c r="H9" i="3"/>
  <c r="G9" i="3"/>
  <c r="F9" i="3"/>
  <c r="E9" i="3"/>
  <c r="D9" i="3"/>
  <c r="C9" i="3"/>
  <c r="B9" i="3"/>
  <c r="A9" i="3"/>
  <c r="N8" i="3"/>
  <c r="M8" i="3"/>
  <c r="I8" i="3"/>
  <c r="H8" i="3"/>
  <c r="G8" i="3"/>
  <c r="F8" i="3"/>
  <c r="E8" i="3"/>
  <c r="D8" i="3"/>
  <c r="C8" i="3"/>
  <c r="B8" i="3"/>
  <c r="A8" i="3"/>
  <c r="N7" i="3"/>
  <c r="M7" i="3"/>
  <c r="I7" i="3"/>
  <c r="H7" i="3"/>
  <c r="G7" i="3"/>
  <c r="F7" i="3"/>
  <c r="E7" i="3"/>
  <c r="D7" i="3"/>
  <c r="C7" i="3"/>
  <c r="B7" i="3"/>
  <c r="A7" i="3"/>
  <c r="N6" i="3"/>
  <c r="M6" i="3"/>
  <c r="I6" i="3"/>
  <c r="H6" i="3"/>
  <c r="G6" i="3"/>
  <c r="F6" i="3"/>
  <c r="E6" i="3"/>
  <c r="D6" i="3"/>
  <c r="C6" i="3"/>
  <c r="B6" i="3"/>
  <c r="A6" i="3"/>
  <c r="N5" i="3"/>
  <c r="M5" i="3"/>
  <c r="I5" i="3"/>
  <c r="H5" i="3"/>
  <c r="G5" i="3"/>
  <c r="F5" i="3"/>
  <c r="E5" i="3"/>
  <c r="D5" i="3"/>
  <c r="C5" i="3"/>
  <c r="B5" i="3"/>
  <c r="A5" i="3"/>
  <c r="N4" i="3"/>
  <c r="M4" i="3"/>
  <c r="I4" i="3"/>
  <c r="H4" i="3"/>
  <c r="G4" i="3"/>
  <c r="F4" i="3"/>
  <c r="E4" i="3"/>
  <c r="D4" i="3"/>
  <c r="C4" i="3"/>
  <c r="B4" i="3"/>
  <c r="A4" i="3"/>
  <c r="N3" i="3"/>
  <c r="M3" i="3"/>
  <c r="I3" i="3"/>
  <c r="H3" i="3"/>
  <c r="G3" i="3"/>
  <c r="F3" i="3"/>
  <c r="E3" i="3"/>
  <c r="D3" i="3"/>
  <c r="C3" i="3"/>
  <c r="B3" i="3"/>
  <c r="A3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1600-000001000000}">
      <text>
        <r>
          <rPr>
            <sz val="10"/>
            <color rgb="FF000000"/>
            <rFont val="Arial"/>
            <scheme val="minor"/>
          </rPr>
          <t xml:space="preserve">Vanusegruppid siin. Kui on veel, siin lisada ja teha vastava muudatuse menüü kastis ANDMED-ANDMETE VALIDEERIMINE: Määrata uus piirkond
</t>
        </r>
      </text>
    </comment>
    <comment ref="E3" authorId="0" shapeId="0" xr:uid="{00000000-0006-0000-1600-000002000000}">
      <text>
        <r>
          <rPr>
            <sz val="10"/>
            <color rgb="FF000000"/>
            <rFont val="Arial"/>
            <scheme val="minor"/>
          </rPr>
          <t>Meeskondade nimetused, kui vaja on, saab sisestada</t>
        </r>
      </text>
    </comment>
    <comment ref="G3" authorId="0" shapeId="0" xr:uid="{00000000-0006-0000-1600-000003000000}">
      <text>
        <r>
          <rPr>
            <sz val="10"/>
            <color rgb="FF000000"/>
            <rFont val="Arial"/>
            <scheme val="minor"/>
          </rPr>
          <t>Malevkonnade letelu</t>
        </r>
      </text>
    </comment>
    <comment ref="H3" authorId="0" shapeId="0" xr:uid="{00000000-0006-0000-1600-000004000000}">
      <text>
        <r>
          <rPr>
            <sz val="10"/>
            <color rgb="FF000000"/>
            <rFont val="Arial"/>
            <scheme val="minor"/>
          </rPr>
          <t>Sooline liigitus</t>
        </r>
      </text>
    </comment>
    <comment ref="D5" authorId="0" shapeId="0" xr:uid="{00000000-0006-0000-1600-000005000000}">
      <text>
        <r>
          <rPr>
            <sz val="10"/>
            <color rgb="FF000000"/>
            <rFont val="Arial"/>
            <scheme val="minor"/>
          </rPr>
          <t>Kas võisleb või nii sama laseb</t>
        </r>
      </text>
    </comment>
  </commentList>
</comments>
</file>

<file path=xl/sharedStrings.xml><?xml version="1.0" encoding="utf-8"?>
<sst xmlns="http://schemas.openxmlformats.org/spreadsheetml/2006/main" count="4112" uniqueCount="428">
  <si>
    <t>VÕISTKONDLIK KOKKU</t>
  </si>
  <si>
    <t>ALA</t>
  </si>
  <si>
    <t>Malev</t>
  </si>
  <si>
    <t>100m 3x10 H2</t>
  </si>
  <si>
    <t>200 m 2x10 H3</t>
  </si>
  <si>
    <t>25m .22 30+30 H8</t>
  </si>
  <si>
    <t>25m .22 H9</t>
  </si>
  <si>
    <t>25m 9,0mm H5</t>
  </si>
  <si>
    <t>300m H1</t>
  </si>
  <si>
    <t>300m VABA H1V</t>
  </si>
  <si>
    <t>50m 3x20 H6</t>
  </si>
  <si>
    <t>50m lamades H7</t>
  </si>
  <si>
    <t>50m liikuv H4</t>
  </si>
  <si>
    <t>Alutaguse</t>
  </si>
  <si>
    <t>Tartu</t>
  </si>
  <si>
    <t>Tallinn</t>
  </si>
  <si>
    <t>Järva</t>
  </si>
  <si>
    <t>Pärnumaa</t>
  </si>
  <si>
    <t>Lääne</t>
  </si>
  <si>
    <t>Sakala</t>
  </si>
  <si>
    <t>Rapla</t>
  </si>
  <si>
    <t>Viru</t>
  </si>
  <si>
    <t>Võrumaa</t>
  </si>
  <si>
    <t>Põlva</t>
  </si>
  <si>
    <t>Harju</t>
  </si>
  <si>
    <t>KKÜ</t>
  </si>
  <si>
    <t>Saaremaa</t>
  </si>
  <si>
    <t>KL peastaap</t>
  </si>
  <si>
    <t>Valgamaa</t>
  </si>
  <si>
    <t>NOORED VÕISTKONDLIK</t>
  </si>
  <si>
    <t>3x10 lasku</t>
  </si>
  <si>
    <t>Autasustatakse kolme (3) parimat mees- ja naislaskurit</t>
  </si>
  <si>
    <t>Üks laskur</t>
  </si>
  <si>
    <t>2x10 lasku - KOKKU tulemus arvutatud koefitsendiga 30 lasule</t>
  </si>
  <si>
    <t>Autasustatakse kolme (3) parimat laskurit ja parimat meest või naist
sõltumata saavutatud kohast</t>
  </si>
  <si>
    <t>3 x 10 lasku</t>
  </si>
  <si>
    <t>Autasustatakse kolme (3) parimat laskurit</t>
  </si>
  <si>
    <t>3x20 lasku KOKKU tulemus arvutatud koefitsendiga 30 lasule</t>
  </si>
  <si>
    <t>Autasustatakse kolme (3) parimat laskurit ja parimat meest, naist,
meesjuuniori (kuni 18 eluaastat k.a) või naisjuuniori (kuni 18
eluaastat k.a) sõltumata saavutatud kohast</t>
  </si>
  <si>
    <t>1x30 lasku</t>
  </si>
  <si>
    <t>Autasustatakse kolme (3) parimat laskurit ja parimat meest, naist,
meesjuunior (kuni 18 eluaastat k.a) või naisjuunior (kuni 18
eluaastat k.a), poisid ja tüdrukud sõltumata saavutatud
kohast</t>
  </si>
  <si>
    <t>6x5 lasku</t>
  </si>
  <si>
    <r>
      <rPr>
        <b/>
        <sz val="10"/>
        <color rgb="FF0000FF"/>
        <rFont val="Arial"/>
      </rPr>
      <t xml:space="preserve">Autasustatakse kolme (3) parimat laskurit ja parimat meest või naist
sõltumata saavutatud kohast. </t>
    </r>
    <r>
      <rPr>
        <b/>
        <sz val="10"/>
        <color rgb="FFFF0000"/>
        <rFont val="Arial"/>
      </rPr>
      <t>Ainult võistkondlikud stardid.</t>
    </r>
  </si>
  <si>
    <t>6x5 ringmärki ja 6x5 lasku ilmuv - KOKKU tulemus koefitsendiga 30 lasule</t>
  </si>
  <si>
    <t>ILMUV</t>
  </si>
  <si>
    <r>
      <rPr>
        <b/>
        <sz val="10"/>
        <color rgb="FF0000FF"/>
        <rFont val="Arial"/>
      </rPr>
      <t xml:space="preserve">Autasustatakse kolme (3) parimat laskurit ja parimat meest, naist, sõltumata
saavutatud kohast. </t>
    </r>
    <r>
      <rPr>
        <b/>
        <sz val="10"/>
        <color rgb="FFFF0000"/>
        <rFont val="Arial"/>
      </rPr>
      <t>Ainult võistkondlikud stardikohad.</t>
    </r>
  </si>
  <si>
    <t>Autasustatakse kolme (3) parimat laskurit ja parimat meest, naist,
noormeest (kuni 18 eluaastat k.a) või neidu (kuni 18
eluaastat k.a) sõltumata saavutatud kohast</t>
  </si>
  <si>
    <t>VÄLJASPOOL ARVESTUST</t>
  </si>
  <si>
    <t>Erik Amann</t>
  </si>
  <si>
    <t>M</t>
  </si>
  <si>
    <t xml:space="preserve">H8 </t>
  </si>
  <si>
    <t>Individuaalne</t>
  </si>
  <si>
    <t>09.09.23</t>
  </si>
  <si>
    <t>MEHED TULEMUS</t>
  </si>
  <si>
    <t>Nimi</t>
  </si>
  <si>
    <t>Markko Aarne</t>
  </si>
  <si>
    <t>Juss Leinbock</t>
  </si>
  <si>
    <t>Daimar Elp</t>
  </si>
  <si>
    <t>Ivar Tallerman</t>
  </si>
  <si>
    <t>Reijo Virolainen</t>
  </si>
  <si>
    <t>Tanel Oja</t>
  </si>
  <si>
    <t>Siim Jeeberg</t>
  </si>
  <si>
    <t>Meelis Kiisk</t>
  </si>
  <si>
    <t>Henry Tammann</t>
  </si>
  <si>
    <t>Kahru Männik</t>
  </si>
  <si>
    <t>Kristofer-Jaago Kivari</t>
  </si>
  <si>
    <t>Lauri Erm</t>
  </si>
  <si>
    <t>Peeter Olesk</t>
  </si>
  <si>
    <t>Tambet Leinbock</t>
  </si>
  <si>
    <t>Silver Mäe</t>
  </si>
  <si>
    <t>Meelis Kask</t>
  </si>
  <si>
    <t>Ain Muru</t>
  </si>
  <si>
    <t>Aare Väliste</t>
  </si>
  <si>
    <t>Kaspar Viiron</t>
  </si>
  <si>
    <t>Jaanus Raidlo</t>
  </si>
  <si>
    <t>Rivo Poltimäe</t>
  </si>
  <si>
    <t>Indrek Hunt</t>
  </si>
  <si>
    <t>Greg Mattias Murumets</t>
  </si>
  <si>
    <t>Janis Aarne</t>
  </si>
  <si>
    <t>Rando Köster</t>
  </si>
  <si>
    <t>Jaan Jänesmäe</t>
  </si>
  <si>
    <t>Fred Raukas</t>
  </si>
  <si>
    <t>Priit Avarmaa</t>
  </si>
  <si>
    <t>Margus Palolill</t>
  </si>
  <si>
    <t>Erik Aadusoo</t>
  </si>
  <si>
    <t>Ülar Laaneoja</t>
  </si>
  <si>
    <t>Marko Ender</t>
  </si>
  <si>
    <t>Veiko Park</t>
  </si>
  <si>
    <t>Neeme Virveste</t>
  </si>
  <si>
    <t>Toomas Juksaar</t>
  </si>
  <si>
    <t>Meelis Lehtpuu</t>
  </si>
  <si>
    <t>Vladislav Lušin</t>
  </si>
  <si>
    <t>Olavi Kask</t>
  </si>
  <si>
    <t>Kaur Laurimaa</t>
  </si>
  <si>
    <t>Riho Ühtegi</t>
  </si>
  <si>
    <t>Andero Laurits</t>
  </si>
  <si>
    <t>Raigo Pärnapuu</t>
  </si>
  <si>
    <t>Ülar Jürviste</t>
  </si>
  <si>
    <t>Aleksei Osokin</t>
  </si>
  <si>
    <t>Mikk Mustmaa</t>
  </si>
  <si>
    <t>Siim Illopmägi</t>
  </si>
  <si>
    <t>Rene Toomse</t>
  </si>
  <si>
    <t>Aleksandr Voronin</t>
  </si>
  <si>
    <t>Toomas Luman</t>
  </si>
  <si>
    <t>Allan Anniste</t>
  </si>
  <si>
    <t>Andres Välli</t>
  </si>
  <si>
    <t>Taivo Eylandt</t>
  </si>
  <si>
    <t>Toomas Niinemäe</t>
  </si>
  <si>
    <t>Aado Toomsalu</t>
  </si>
  <si>
    <t>Kristo Minn</t>
  </si>
  <si>
    <t>Andres Käär</t>
  </si>
  <si>
    <t>Allar Mürk</t>
  </si>
  <si>
    <t>Aivar Liivrand</t>
  </si>
  <si>
    <t>Indrek Reismann</t>
  </si>
  <si>
    <t>Henri Söönurm</t>
  </si>
  <si>
    <t>Margus Grauberg</t>
  </si>
  <si>
    <t>Martti Raavel</t>
  </si>
  <si>
    <t>Sören Silm</t>
  </si>
  <si>
    <t>Ariko Astra</t>
  </si>
  <si>
    <t>Ivar Siidirätsep</t>
  </si>
  <si>
    <t>Lembit Mitt</t>
  </si>
  <si>
    <t>Jaanus Kala</t>
  </si>
  <si>
    <t>Ragnar Joosep</t>
  </si>
  <si>
    <t>Kai Willadsen</t>
  </si>
  <si>
    <t>Margus Purlau</t>
  </si>
  <si>
    <t>Rainis Kukispuu</t>
  </si>
  <si>
    <t>Kristjan Kajaste</t>
  </si>
  <si>
    <t>Peeter Pops</t>
  </si>
  <si>
    <t>Rasmus Ruusmäe</t>
  </si>
  <si>
    <t>Margus Riso</t>
  </si>
  <si>
    <t>Martin Valk</t>
  </si>
  <si>
    <t>Vassili Stepanov</t>
  </si>
  <si>
    <t>Jaanus Roos</t>
  </si>
  <si>
    <t>Enriko Lutsar</t>
  </si>
  <si>
    <t>Kristjan Raudnagel</t>
  </si>
  <si>
    <t>Peeter Tuusis</t>
  </si>
  <si>
    <t>Kert Humal</t>
  </si>
  <si>
    <t>Meelis Unt</t>
  </si>
  <si>
    <t>Ain Nurmla</t>
  </si>
  <si>
    <t>Kert Kreem</t>
  </si>
  <si>
    <t>Jaanus Vooremäe</t>
  </si>
  <si>
    <t>Aigar Truija</t>
  </si>
  <si>
    <t>Jürgen Kaas</t>
  </si>
  <si>
    <t>Edik Koppelmann</t>
  </si>
  <si>
    <t>Andrei Mihhailov</t>
  </si>
  <si>
    <t>Tarmo Juurak</t>
  </si>
  <si>
    <t>Aivar Kuhi</t>
  </si>
  <si>
    <t>Sulev Lomp</t>
  </si>
  <si>
    <t>Daimar Liiv</t>
  </si>
  <si>
    <t>Tõnu Rummo</t>
  </si>
  <si>
    <t>Olev Lomp</t>
  </si>
  <si>
    <t>Asko Mäeots</t>
  </si>
  <si>
    <t>Sven Leit-Teetlaus</t>
  </si>
  <si>
    <t>Vahur Saaremets</t>
  </si>
  <si>
    <t>Tarmo Kuusepalu</t>
  </si>
  <si>
    <t>Peeter Puio</t>
  </si>
  <si>
    <t>Margus Michelson</t>
  </si>
  <si>
    <t>Kristjan Pahk</t>
  </si>
  <si>
    <t>Meelis Sinijärv</t>
  </si>
  <si>
    <t>Kardo Merivald</t>
  </si>
  <si>
    <t>Tõnu Kibena</t>
  </si>
  <si>
    <t>Nikita Abazin</t>
  </si>
  <si>
    <t>Tõnis Orumaa</t>
  </si>
  <si>
    <t>Andres Ojalt</t>
  </si>
  <si>
    <t>Jaanus Nõmmisto</t>
  </si>
  <si>
    <t>Erik Miido</t>
  </si>
  <si>
    <t>Sergei Rjabõškin</t>
  </si>
  <si>
    <t>Heiki Männik</t>
  </si>
  <si>
    <t>Meelis Pallo</t>
  </si>
  <si>
    <t>Matis Russi</t>
  </si>
  <si>
    <t>Jaanus Mätas</t>
  </si>
  <si>
    <t>Heinar Väljak</t>
  </si>
  <si>
    <t>Anti Jaas</t>
  </si>
  <si>
    <t>Margus Kana</t>
  </si>
  <si>
    <t>Andres Ansip</t>
  </si>
  <si>
    <t>Tiit Lints</t>
  </si>
  <si>
    <t>Rain Jano</t>
  </si>
  <si>
    <t>Kenneth Koosma</t>
  </si>
  <si>
    <t>Indrek Varba</t>
  </si>
  <si>
    <t>Marko Suurmäe</t>
  </si>
  <si>
    <t>Jaanus Viirlo</t>
  </si>
  <si>
    <t>Sigrid Lutsar</t>
  </si>
  <si>
    <t>Andrus Keerd</t>
  </si>
  <si>
    <t>Heino Piirsalu</t>
  </si>
  <si>
    <t>Janis Krupinš</t>
  </si>
  <si>
    <t>Toomas Taimre</t>
  </si>
  <si>
    <t>Enno Jeršov</t>
  </si>
  <si>
    <t>Aare Niinepuu</t>
  </si>
  <si>
    <t>Andri Tenson</t>
  </si>
  <si>
    <t>Ain Pajo</t>
  </si>
  <si>
    <t>Alar Nigul</t>
  </si>
  <si>
    <t>Andres Hairk</t>
  </si>
  <si>
    <t>Ants Pertelson</t>
  </si>
  <si>
    <t>Hellar Sile</t>
  </si>
  <si>
    <t>Urmas Lichtfeldt</t>
  </si>
  <si>
    <t>Indrek Tombak</t>
  </si>
  <si>
    <t>Elmet Orasson</t>
  </si>
  <si>
    <t>Eero Säde</t>
  </si>
  <si>
    <t>Rauno Piirimets</t>
  </si>
  <si>
    <t>Raigo Talv</t>
  </si>
  <si>
    <t>Andre Kirbits</t>
  </si>
  <si>
    <t>Urmas Kõonurm</t>
  </si>
  <si>
    <t>Meelis Liiv</t>
  </si>
  <si>
    <t>NAISED TULEMUS</t>
  </si>
  <si>
    <t>Kaire Taar</t>
  </si>
  <si>
    <t>Anžela Voronova</t>
  </si>
  <si>
    <t>Marianne Tavits</t>
  </si>
  <si>
    <t>Karina Kotkas</t>
  </si>
  <si>
    <t>Kristina Kiisk</t>
  </si>
  <si>
    <t>Ljudmila Kortšagina</t>
  </si>
  <si>
    <t>Susanna Sule</t>
  </si>
  <si>
    <t>Markko Kirsti</t>
  </si>
  <si>
    <t>Kaisa Sikk</t>
  </si>
  <si>
    <t>Anne Kull</t>
  </si>
  <si>
    <t>Liis Kruuse</t>
  </si>
  <si>
    <t>Mari-Anne Meister</t>
  </si>
  <si>
    <t>Anastassia Olewicz</t>
  </si>
  <si>
    <t>Aili Vakker</t>
  </si>
  <si>
    <t>Triin Kuusik</t>
  </si>
  <si>
    <t>Triin Tähtla</t>
  </si>
  <si>
    <t>Veera Rumjantseva</t>
  </si>
  <si>
    <t>Kristina Polunina</t>
  </si>
  <si>
    <t>Anne-Mai Nahk</t>
  </si>
  <si>
    <t>Kersti Kaare</t>
  </si>
  <si>
    <t>Jekaterina Tihhomirova</t>
  </si>
  <si>
    <t>Inga Niit</t>
  </si>
  <si>
    <t>Anu Asu</t>
  </si>
  <si>
    <t>Viia Kaldam</t>
  </si>
  <si>
    <t>Maret Härm-Tilk</t>
  </si>
  <si>
    <t>Liselle Laurits</t>
  </si>
  <si>
    <t>Katrin Leppik</t>
  </si>
  <si>
    <t>Liis Koger</t>
  </si>
  <si>
    <t>Margit Kaur</t>
  </si>
  <si>
    <t>Ave Larionova</t>
  </si>
  <si>
    <t>Eha Valdna</t>
  </si>
  <si>
    <t>Katrin Arulepp</t>
  </si>
  <si>
    <t>Kristiina Kivari</t>
  </si>
  <si>
    <t>Aili Popp</t>
  </si>
  <si>
    <t>Carmen Kägo</t>
  </si>
  <si>
    <t>Maive Tõemäe</t>
  </si>
  <si>
    <t>Oksana Leesik</t>
  </si>
  <si>
    <t>Merri Laidma</t>
  </si>
  <si>
    <t>Kristel Kaasiku</t>
  </si>
  <si>
    <t>Kristi Mets</t>
  </si>
  <si>
    <t>Karin Madisson</t>
  </si>
  <si>
    <t>Heli Hiiemäe</t>
  </si>
  <si>
    <t>Ele Lehes</t>
  </si>
  <si>
    <t>Svetlana Doledutko</t>
  </si>
  <si>
    <t>Valeria Škabara</t>
  </si>
  <si>
    <t>Liivi Erm</t>
  </si>
  <si>
    <t>Piret Grossthal</t>
  </si>
  <si>
    <t>Liisi Preedin</t>
  </si>
  <si>
    <t>Mendi Kallavus</t>
  </si>
  <si>
    <t>Marja Kirss</t>
  </si>
  <si>
    <t>Külli Sarna</t>
  </si>
  <si>
    <t>Margareth Kampmann</t>
  </si>
  <si>
    <t>Ruth Maadla</t>
  </si>
  <si>
    <t>Piret Saul</t>
  </si>
  <si>
    <t>Sirle Baldesport-Märss</t>
  </si>
  <si>
    <t>Laura Lees</t>
  </si>
  <si>
    <t>Ragne Roosla</t>
  </si>
  <si>
    <t>Kätliin Saar</t>
  </si>
  <si>
    <t>Siret Niinepuu</t>
  </si>
  <si>
    <t>Irina Fišina</t>
  </si>
  <si>
    <t>Marit Kasemets</t>
  </si>
  <si>
    <t>Marit Pleiats</t>
  </si>
  <si>
    <t>Natalja Skvortsova</t>
  </si>
  <si>
    <t>Karme Hain</t>
  </si>
  <si>
    <t>Signe Viggor</t>
  </si>
  <si>
    <t>Merje Essa</t>
  </si>
  <si>
    <t>Riina Schmeimann</t>
  </si>
  <si>
    <t>Evelin Lappalainen</t>
  </si>
  <si>
    <t>Merle Pekri</t>
  </si>
  <si>
    <t>Piret Rehe</t>
  </si>
  <si>
    <t>Tiiu Liivamaa</t>
  </si>
  <si>
    <t>Tiia Künnap</t>
  </si>
  <si>
    <t>Heili Lepp</t>
  </si>
  <si>
    <t>Kadri Forsström</t>
  </si>
  <si>
    <t>Eik Erich Tahk</t>
  </si>
  <si>
    <t>Juunior M KOKKU</t>
  </si>
  <si>
    <t>Ragnar Puio</t>
  </si>
  <si>
    <t>Robi Abel</t>
  </si>
  <si>
    <t>Argo Larionov</t>
  </si>
  <si>
    <t>Keio Essa</t>
  </si>
  <si>
    <t>Reimo Jürjo</t>
  </si>
  <si>
    <t>Silver Juksaar</t>
  </si>
  <si>
    <t>Mattias-Oliver Oja</t>
  </si>
  <si>
    <t>Lepo Jonuks</t>
  </si>
  <si>
    <t>Artjom Plotnikov</t>
  </si>
  <si>
    <t>Vladislav Grigorjev</t>
  </si>
  <si>
    <t>Tanel Moor</t>
  </si>
  <si>
    <t>Martin Sinisaar</t>
  </si>
  <si>
    <t>Jegor Jakovlev</t>
  </si>
  <si>
    <t>Andri Männe</t>
  </si>
  <si>
    <t>Kermo Rea</t>
  </si>
  <si>
    <t>Kennet Kalda</t>
  </si>
  <si>
    <t>Ragnar Juurik</t>
  </si>
  <si>
    <t>MatisFred Tutt</t>
  </si>
  <si>
    <t>Ruuben Jaanisk</t>
  </si>
  <si>
    <t>Aleksander Kalitventsev</t>
  </si>
  <si>
    <t>Tirk Märss</t>
  </si>
  <si>
    <t>Kahrut Märss</t>
  </si>
  <si>
    <t>Ott Ottisaar</t>
  </si>
  <si>
    <t>Karmo Kosk</t>
  </si>
  <si>
    <t>Jevgeni Gerassimov</t>
  </si>
  <si>
    <t>Keno-Laur Lutsar</t>
  </si>
  <si>
    <t>Vahur Asi</t>
  </si>
  <si>
    <t>Mattis Martjak</t>
  </si>
  <si>
    <t>Andi Saaretalu</t>
  </si>
  <si>
    <t>Juunior N TULEMUS</t>
  </si>
  <si>
    <t>Kristina Mölder</t>
  </si>
  <si>
    <t>Marta Pauliine Mihkelson</t>
  </si>
  <si>
    <t>Annika Sarna</t>
  </si>
  <si>
    <t>Katrin Mirtel Tutt</t>
  </si>
  <si>
    <t>Pilleriin Vaarik</t>
  </si>
  <si>
    <t>Katrin Kaarna</t>
  </si>
  <si>
    <t>Ksenia Ivanova</t>
  </si>
  <si>
    <t>Anett Moor</t>
  </si>
  <si>
    <t>Anete Mozgovoi</t>
  </si>
  <si>
    <t>Lisell Väljak</t>
  </si>
  <si>
    <t>Lisette Tafenau</t>
  </si>
  <si>
    <t>Gertlin Kanarbik</t>
  </si>
  <si>
    <t>Kedy Kopti</t>
  </si>
  <si>
    <t>Valeria Safronova NJ</t>
  </si>
  <si>
    <t>Jekaterina Issatšenkova</t>
  </si>
  <si>
    <t>Meribel Männik</t>
  </si>
  <si>
    <t>Lili-Marleen Tooming</t>
  </si>
  <si>
    <t>Kristiina Sammal</t>
  </si>
  <si>
    <t>Reti-Karlota Rebane</t>
  </si>
  <si>
    <t>Kertu Puštšenko</t>
  </si>
  <si>
    <t>Kati-Ly Randviir</t>
  </si>
  <si>
    <t>Tatiana Mikhailova</t>
  </si>
  <si>
    <t>Elerin Ross</t>
  </si>
  <si>
    <t>Riste-Helene Pard</t>
  </si>
  <si>
    <t>Maia Bunder</t>
  </si>
  <si>
    <t>Akneliina Luur</t>
  </si>
  <si>
    <t>Katerina Herma</t>
  </si>
  <si>
    <t>Dana Vassel</t>
  </si>
  <si>
    <t>Gertrud Vaeno</t>
  </si>
  <si>
    <t>Marion Meister</t>
  </si>
  <si>
    <t>Marleen Multram</t>
  </si>
  <si>
    <t>Minna-Mai Kaas</t>
  </si>
  <si>
    <t>Laura Saar</t>
  </si>
  <si>
    <t>POISID TULEMUS</t>
  </si>
  <si>
    <t>Markus Minn</t>
  </si>
  <si>
    <t>Kaspar Pettai</t>
  </si>
  <si>
    <t>Urmas Siir</t>
  </si>
  <si>
    <t>Aksel Alas</t>
  </si>
  <si>
    <t>Raimond Vahtra</t>
  </si>
  <si>
    <t>Kaspar Tühis</t>
  </si>
  <si>
    <t>Ardon Neostus</t>
  </si>
  <si>
    <t>Taavi Talvoja</t>
  </si>
  <si>
    <t>Rudolf Leetsaar</t>
  </si>
  <si>
    <t>Rasmus Vaikmets</t>
  </si>
  <si>
    <t>TÜDRUKUD TULEMUS</t>
  </si>
  <si>
    <t>Riti Põder</t>
  </si>
  <si>
    <t>Adeele Koppelmann</t>
  </si>
  <si>
    <t>Arina Jefimova</t>
  </si>
  <si>
    <t>Valeria Safronova</t>
  </si>
  <si>
    <t>Chrissy Padar</t>
  </si>
  <si>
    <t>Loore Tagen</t>
  </si>
  <si>
    <t>Kirsika Kelder</t>
  </si>
  <si>
    <t>Alexia Klis</t>
  </si>
  <si>
    <t>Kaisa-Liisa Lepa</t>
  </si>
  <si>
    <t>Rebeka Stimmer</t>
  </si>
  <si>
    <t>Angelika Kasesalu</t>
  </si>
  <si>
    <t>Eliise Näks</t>
  </si>
  <si>
    <t>Kaarin Veelaid</t>
  </si>
  <si>
    <t>ÜLDARVESTUS</t>
  </si>
  <si>
    <t>Võistlusklass</t>
  </si>
  <si>
    <t>VÕISTLUSALA</t>
  </si>
  <si>
    <t>Kuidas võistleb</t>
  </si>
  <si>
    <t>Võistluspäev</t>
  </si>
  <si>
    <t>1. seeria</t>
  </si>
  <si>
    <t>2. seeria</t>
  </si>
  <si>
    <t>3. seeria</t>
  </si>
  <si>
    <t>4. seeria</t>
  </si>
  <si>
    <t>5. seeria</t>
  </si>
  <si>
    <t>6. seeria</t>
  </si>
  <si>
    <t>KOKKU</t>
  </si>
  <si>
    <t>VÕISTK KOKKU</t>
  </si>
  <si>
    <t>Võistkond</t>
  </si>
  <si>
    <t>N</t>
  </si>
  <si>
    <t>10.09.23</t>
  </si>
  <si>
    <t>MJ</t>
  </si>
  <si>
    <t>NJ</t>
  </si>
  <si>
    <t>P</t>
  </si>
  <si>
    <t>T</t>
  </si>
  <si>
    <t>1. Esimesel lehel saab sisestada kõik tulemused kasutades filtri vaadet ala järgi</t>
  </si>
  <si>
    <t>2. Osalejad on tabelis nii mitu korda, kui mitmel alal nad võistlevad</t>
  </si>
  <si>
    <t>3. Tulemuste sisestamiseks valida filtrivaade, mis ala sooritati</t>
  </si>
  <si>
    <t xml:space="preserve">4. Võistkonna lehel on pivot tabel, mis toob välja võistkondade kaupa KOKKU tulemused ning sorteerib suurimast väiksemaks. </t>
  </si>
  <si>
    <t>5. Pivot tabeli kõrvale on lisatud RANKING valem saavutatud koha kuvamiseks.</t>
  </si>
  <si>
    <t>6. Alates teisest lehest on tabelid kirjutuskaitstud - muuta saab vaid MäLK gmail kontoga.</t>
  </si>
  <si>
    <t>7. Filtreeritavad välja andmed on kirjutuskaitstud ja muudetavad faid MäLK gmail kontoga.</t>
  </si>
  <si>
    <t>8. Osalejate lehel on muudetavad vaid tulemuste lahtrid, ülejäänud on muudetav vaid MäLK gmail kontoga.</t>
  </si>
  <si>
    <t>Võistleb</t>
  </si>
  <si>
    <t>Osalejad</t>
  </si>
  <si>
    <t>Tallinna</t>
  </si>
  <si>
    <t>Mees</t>
  </si>
  <si>
    <t>Jah</t>
  </si>
  <si>
    <t>.</t>
  </si>
  <si>
    <t>Harjumaa</t>
  </si>
  <si>
    <t>Naine</t>
  </si>
  <si>
    <t>Ei</t>
  </si>
  <si>
    <t>-Kõik-</t>
  </si>
  <si>
    <t>Jõgeva</t>
  </si>
  <si>
    <t>KLPS</t>
  </si>
  <si>
    <t>Alina Kovaljova</t>
  </si>
  <si>
    <t>Andero Saul</t>
  </si>
  <si>
    <t>Anete Mozkovoi</t>
  </si>
  <si>
    <t>Elisabet Podekrat</t>
  </si>
  <si>
    <t>Eva Kikas</t>
  </si>
  <si>
    <t>Helen Saal</t>
  </si>
  <si>
    <t>Janari Pettai</t>
  </si>
  <si>
    <t>Karina Smirnova</t>
  </si>
  <si>
    <t>Küllike Sinisalu</t>
  </si>
  <si>
    <t>Linda Pärn</t>
  </si>
  <si>
    <t>Miina Voltri</t>
  </si>
  <si>
    <t>Oskar Veetõusme</t>
  </si>
  <si>
    <t>Patric Madar</t>
  </si>
  <si>
    <t>Raian Kleeman</t>
  </si>
  <si>
    <t>Rando Anni</t>
  </si>
  <si>
    <t>Siim Kunnar Laar</t>
  </si>
  <si>
    <t>Õnne-Liisi Viidas</t>
  </si>
  <si>
    <t>Grand Total</t>
  </si>
  <si>
    <t>(blank)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</si>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</sst>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8"/>
      <color rgb="FF0000FF"/>
      <name val="Arial"/>
      <scheme val="minor"/>
    </font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sz val="11"/>
      <color rgb="FF1F1F1F"/>
      <name val="&quot;Google Sans&quot;"/>
    </font>
    <font>
      <b/>
      <sz val="10"/>
      <color rgb="FF0000FF"/>
      <name val="Arial"/>
    </font>
    <font>
      <b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2" borderId="0" xfId="0" applyFont="1" applyFill="1"/>
    <xf numFmtId="0" fontId="2" fillId="0" borderId="1" xfId="0" applyFont="1" applyBorder="1"/>
    <xf numFmtId="0" fontId="6" fillId="3" borderId="0" xfId="0" applyFont="1" applyFill="1"/>
    <xf numFmtId="0" fontId="6" fillId="4" borderId="0" xfId="0" applyFont="1" applyFill="1"/>
    <xf numFmtId="0" fontId="7" fillId="4" borderId="1" xfId="0" applyFont="1" applyFill="1" applyBorder="1"/>
    <xf numFmtId="0" fontId="6" fillId="4" borderId="0" xfId="0" applyFont="1" applyFill="1" applyAlignment="1">
      <alignment wrapText="1"/>
    </xf>
    <xf numFmtId="0" fontId="2" fillId="4" borderId="0" xfId="0" applyFont="1" applyFill="1"/>
    <xf numFmtId="0" fontId="6" fillId="3" borderId="0" xfId="0" applyFont="1" applyFill="1" applyAlignment="1">
      <alignment wrapText="1"/>
    </xf>
    <xf numFmtId="0" fontId="8" fillId="0" borderId="0" xfId="0" applyFont="1"/>
    <xf numFmtId="0" fontId="9" fillId="2" borderId="0" xfId="0" applyFont="1" applyFill="1"/>
    <xf numFmtId="0" fontId="2" fillId="0" borderId="2" xfId="0" applyFont="1" applyBorder="1"/>
    <xf numFmtId="0" fontId="3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pivotButton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liver Kuks" refreshedDate="45181.467796643519" refreshedVersion="8" recordCount="511" xr:uid="{00000000-000A-0000-FFFF-FFFF01000000}">
  <cacheSource type="worksheet">
    <worksheetSource ref="A1:M512" sheet="StartList"/>
  </cacheSource>
  <cacheFields count="13">
    <cacheField name="Nimi" numFmtId="0">
      <sharedItems containsBlank="1" count="310">
        <s v="Ivar Tallerman"/>
        <s v="Henry Tammann"/>
        <s v="Juss Leinbock"/>
        <s v="Natalja Skvortsova"/>
        <s v="Tanel Oja"/>
        <s v="Jekaterina Tihhomirova"/>
        <s v="Andres Välli"/>
        <s v="Heli Hiiemäe"/>
        <s v="Allan Anniste"/>
        <s v="Margus Michelson"/>
        <s v="Indrek Reismann"/>
        <s v="Lauri Erm"/>
        <s v="Kai Willadsen"/>
        <s v="Martti Raavel"/>
        <s v="Merri Laidma"/>
        <s v="Jaanus Vooremäe"/>
        <s v="Kersti Kaare"/>
        <s v="Rasmus Ruusmäe"/>
        <s v="Erik Miido"/>
        <s v="Margus Purlau"/>
        <s v="Aare Väliste"/>
        <s v="Meelis Sinijärv"/>
        <s v="Karin Madisson"/>
        <s v="Kristjan Pahk"/>
        <s v="Aado Toomsalu"/>
        <s v="Neeme Virveste"/>
        <s v="Kert Kreem"/>
        <s v="Kadri Forsström"/>
        <s v="Toomas Niinemäe"/>
        <s v="Ain Muru"/>
        <s v="Ljudmila Kortšagina"/>
        <s v="Janis Aarne"/>
        <s v="Sirle Baldesport-Märss"/>
        <s v="Anu Asu"/>
        <s v="Kristiina Kivari"/>
        <s v="Oksana Leesik"/>
        <s v="Eha Valdna"/>
        <s v="Kardo Merivald"/>
        <s v="Aivar Liivrand"/>
        <s v="Kristi Mets"/>
        <s v="Meelis Pallo"/>
        <s v="Margus Kana"/>
        <s v="Andri Tenson"/>
        <s v="Irina Fišina"/>
        <s v="Martin Valk"/>
        <s v="Siim Jeeberg"/>
        <s v="Rainis Kukispuu"/>
        <s v="Sigrid Lutsar"/>
        <s v="Katrin Arulepp"/>
        <s v="Ragnar Joosep"/>
        <s v="Kristjan Raudnagel"/>
        <s v="Susanna Sule"/>
        <s v="Andres Ansip"/>
        <s v="Vassili Stepanov"/>
        <s v="Siim Illopmägi"/>
        <s v="Markko Aarne"/>
        <s v="Ivar Siidirätsep"/>
        <s v="Evelin Lappalainen"/>
        <s v="Sören Silm"/>
        <s v="Andrus Keerd"/>
        <s v="Liis Kruuse"/>
        <s v="Ülar Laaneoja"/>
        <s v="Erik Aadusoo"/>
        <s v="Olavi Kask"/>
        <s v="Daimar Elp"/>
        <s v="Taivo Eylandt"/>
        <s v="Aleksei Osokin"/>
        <s v="Vahur Saaremets"/>
        <s v="Jaanus Kala"/>
        <s v="Aigar Truija"/>
        <s v="Peeter Tuusis"/>
        <s v="Laura Lees"/>
        <s v="Rivo Poltimäe"/>
        <s v="Ruth Maadla"/>
        <s v="Sergei Rjabõškin"/>
        <s v="Margus Riso"/>
        <s v="Anne Kull"/>
        <s v="Tambet Leinbock"/>
        <s v="Jürgen Kaas"/>
        <s v="Jaan Jänesmäe"/>
        <s v="Meelis Unt"/>
        <s v="Priit Avarmaa"/>
        <s v="Ülar Jürviste"/>
        <s v="Fred Raukas"/>
        <s v="Aili Popp"/>
        <s v="Tarmo Juurak"/>
        <s v="Marko Ender"/>
        <s v="Margus Palolill"/>
        <s v="Ele Lehes"/>
        <s v="Eik Erich Tahk"/>
        <s v="Reijo Virolainen"/>
        <s v="Jaanus Roos"/>
        <s v="Peeter Pops"/>
        <s v="Mikk Mustmaa"/>
        <s v="Veiko Park"/>
        <s v="Eero Säde"/>
        <s v="Meelis Liiv"/>
        <s v="Vladislav Grigorjev"/>
        <s v="Kristina Polunina"/>
        <s v="Lepo Jonuks"/>
        <s v="Kristina Kiisk"/>
        <s v="Mari-Anne Meister"/>
        <s v="Ragnar Puio"/>
        <s v="Anne-Mai Nahk"/>
        <s v="Meelis Lehtpuu"/>
        <s v="Aleksandr Voronin"/>
        <s v="Toomas Juksaar"/>
        <s v="Tiia Künnap"/>
        <s v="Kaire Taar"/>
        <s v="Ariko Astra"/>
        <s v="Triin Kuusik"/>
        <s v="Enriko Lutsar"/>
        <s v="Maive Tõemäe"/>
        <s v="Henri Söönurm"/>
        <s v="Triin Tähtla"/>
        <s v="Lisell Väljak"/>
        <s v="Jaanus Raidlo"/>
        <s v="Inga Niit"/>
        <s v="Indrek Hunt"/>
        <s v="Peeter Olesk"/>
        <s v="Silver Mäe"/>
        <s v="Marja Kirss"/>
        <s v="Jevgeni Gerassimov"/>
        <s v="Tatiana Mikhailova"/>
        <s v="Veera Rumjantseva"/>
        <s v="Asko Mäeots"/>
        <s v="Kätliin Saar"/>
        <s v="Ott Ottisaar"/>
        <s v="Minna-Mai Kaas"/>
        <s v="Aare Niinepuu"/>
        <s v="Mattis Martjak"/>
        <s v="Andres Ojalt"/>
        <s v="Gertrud Vaeno"/>
        <s v="Margit Kaur"/>
        <s v="Kristo Minn"/>
        <s v="Silver Juksaar"/>
        <s v="Andero Laurits"/>
        <s v="Liselle Laurits"/>
        <s v="Maia Bunder"/>
        <s v="Kahrut Märss"/>
        <s v="Marit Kasemets"/>
        <s v="Viia Kaldam"/>
        <s v="Peeter Puio"/>
        <s v="Tiiu Liivamaa"/>
        <s v="Akneliina Luur"/>
        <s v="Maret Härm-Tilk"/>
        <s v="Keno-Laur Lutsar"/>
        <s v="Riina Schmeimann"/>
        <s v="Greg Mattias Murumets"/>
        <s v="Ragne Roosla"/>
        <s v="Ragnar Juurik"/>
        <s v="Marleen Multram"/>
        <s v="Aleksander Kalitventsev"/>
        <s v="Katerina Herma"/>
        <s v="Heinar Väljak"/>
        <s v="Elerin Ross"/>
        <s v="Dana Vassel"/>
        <s v="Merje Essa"/>
        <s v="Keio Essa"/>
        <s v="Argo Larionov"/>
        <s v="Kati-Ly Randviir"/>
        <s v="Heiki Männik"/>
        <s v="Andi Saaretalu"/>
        <s v="Laura Saar"/>
        <s v="Indrek Varba"/>
        <s v="Matis Russi"/>
        <s v="Kristjan Kajaste"/>
        <s v="Margus Grauberg"/>
        <s v="Siret Niinepuu"/>
        <s v="Tõnis Orumaa"/>
        <s v="Erik Amann"/>
        <s v="Katrin Leppik"/>
        <s v="Rene Toomse"/>
        <s v="Janis Krupinš"/>
        <s v="Toomas Luman"/>
        <s v="Jaanus Viirlo"/>
        <s v="Tiit Lints"/>
        <s v="Raigo Talv"/>
        <s v="Kristel Kaasiku"/>
        <s v="Marit Pleiats"/>
        <s v="Allar Mürk"/>
        <s v="Signe Viggor"/>
        <s v="Jaanus Mätas"/>
        <s v="Piret Rehe"/>
        <s v="Karme Hain"/>
        <s v="Urmas Kõonurm"/>
        <s v="Andres Hairk"/>
        <s v="Riho Ühtegi"/>
        <s v="Rando Köster"/>
        <s v="Kert Humal"/>
        <s v="Heino Piirsalu"/>
        <s v="Lembit Mitt"/>
        <s v="Ain Nurmla"/>
        <s v="Andre Kirbits"/>
        <s v="Andres Käär"/>
        <s v="Rain Jano"/>
        <s v="Carmen Kägo"/>
        <s v="Toomas Taimre"/>
        <s v="Enno Jeršov"/>
        <s v="Ants Pertelson"/>
        <s v="Kenneth Koosma"/>
        <s v="Merle Pekri"/>
        <s v="Alar Nigul"/>
        <s v="Tõnu Kibena"/>
        <s v="Anti Jaas"/>
        <s v="Sulev Lomp"/>
        <s v="Olev Lomp"/>
        <s v="Tõnu Rummo"/>
        <s v="Ain Pajo"/>
        <s v="Marko Suurmäe"/>
        <s v="Vladislav Lušin"/>
        <s v="Anastassia Olewicz"/>
        <s v="Artjom Plotnikov"/>
        <s v="Ksenia Ivanova"/>
        <s v="Meelis Kiisk"/>
        <s v="Liis Koger"/>
        <s v="Robi Abel"/>
        <s v="Kedy Kopti"/>
        <s v="Karina Kotkas"/>
        <s v="Marta Pauliine Mihkelson"/>
        <s v="Kaur Laurimaa"/>
        <s v="Lisette Tafenau"/>
        <s v="Anžela Voronova"/>
        <s v="Anett Moor"/>
        <s v="Annika Sarna"/>
        <s v="Tanel Moor"/>
        <s v="Raigo Pärnapuu"/>
        <s v="Ave Larionova"/>
        <s v="Martin Sinisaar"/>
        <s v="Gertlin Kanarbik"/>
        <s v="Kaspar Viiron"/>
        <s v="Katrin Mirtel Tutt"/>
        <s v="Markko Kirsti"/>
        <s v="Reimo Jürjo"/>
        <s v="Anete Mozgovoi"/>
        <s v="Kristofer-Jaago Kivari"/>
        <s v="Kahru Männik"/>
        <s v="Marianne Tavits"/>
        <s v="Kristina Mölder"/>
        <s v="Meelis Kask"/>
        <s v="Aili Vakker"/>
        <s v="Pilleriin Vaarik"/>
        <s v="Mattias-Oliver Oja"/>
        <s v="Katrin Kaarna"/>
        <s v="Kaisa Sikk"/>
        <s v="Ardon Neostus"/>
        <s v="Valeria Safronova NJ"/>
        <s v="Andri Männe"/>
        <s v="Valeria Safronova"/>
        <s v="Jekaterina Issatšenkova"/>
        <s v="Arina Jefimova"/>
        <s v="Kertu Puštšenko"/>
        <s v="Andrei Mihhailov"/>
        <s v="Valeria Škabara"/>
        <s v="Jegor Jakovlev"/>
        <s v="Piret Saul"/>
        <s v="Riste-Helene Pard"/>
        <s v="Kaspar Pettai"/>
        <s v="Riti Põder"/>
        <s v="Daimar Liiv"/>
        <s v="Angelika Kasesalu"/>
        <s v="Kennet Kalda"/>
        <s v="Sven Leit-Teetlaus"/>
        <s v="Markus Minn"/>
        <s v="Mendi Kallavus"/>
        <s v="Liisi Preedin"/>
        <s v="Svetlana Doledutko"/>
        <s v="Edik Koppelmann"/>
        <s v="Tirk Märss"/>
        <s v="Adeele Koppelmann"/>
        <s v="Urmas Siir"/>
        <s v="Kristiina Sammal"/>
        <s v="Kermo Rea"/>
        <s v="Külli Sarna"/>
        <s v="Piret Grossthal"/>
        <s v="Jaanus Nõmmisto"/>
        <s v="Margareth Kampmann"/>
        <s v="Marion Meister"/>
        <s v="Lili-Marleen Tooming"/>
        <s v="Ruuben Jaanisk"/>
        <s v="Raimond Vahtra"/>
        <s v="Alexia Klis"/>
        <s v="Aivar Kuhi"/>
        <s v="Karmo Kosk"/>
        <s v="Reti-Karlota Rebane"/>
        <s v="Eliise Näks"/>
        <s v="Liivi Erm"/>
        <s v="MatisFred Tutt"/>
        <s v="Taavi Talvoja"/>
        <s v="Rebeka Stimmer"/>
        <s v="Aksel Alas"/>
        <s v="Kaisa-Liisa Lepa"/>
        <s v="Rudolf Leetsaar"/>
        <s v="Chrissy Padar"/>
        <s v="Vahur Asi"/>
        <s v="Kirsika Kelder"/>
        <s v="Meribel Männik"/>
        <s v="Kaarin Veelaid"/>
        <s v="Rasmus Vaikmets"/>
        <s v="Loore Tagen"/>
        <s v="Tarmo Kuusepalu"/>
        <s v="Nikita Abazin"/>
        <s v="Kaspar Tühis"/>
        <s v="Indrek Tombak"/>
        <s v="Urmas Lichtfeldt"/>
        <s v="Heili Lepp"/>
        <s v="Rauno Piirimets"/>
        <s v="Hellar Sile"/>
        <s v="Elmet Orasson"/>
        <m/>
      </sharedItems>
    </cacheField>
    <cacheField name="Malev" numFmtId="0">
      <sharedItems containsBlank="1"/>
    </cacheField>
    <cacheField name="Võistlusklass" numFmtId="0">
      <sharedItems containsBlank="1" count="7">
        <s v="M"/>
        <s v="N"/>
        <s v="MJ"/>
        <s v="NJ"/>
        <s v="P"/>
        <s v="T"/>
        <m/>
      </sharedItems>
    </cacheField>
    <cacheField name="VÕISTLUSALA" numFmtId="0">
      <sharedItems containsBlank="1" count="11">
        <s v="100m 3x10 H2"/>
        <s v="200 m 2x10 H3"/>
        <s v="25m .22 30+30 H8"/>
        <s v="25m .22 H9"/>
        <s v="25m 9,0mm H5"/>
        <s v="300m H1"/>
        <s v="300m VABA H1V"/>
        <s v="50m 3x20 H6"/>
        <s v="50m lamades H7"/>
        <s v="50m liikuv H4"/>
        <m/>
      </sharedItems>
    </cacheField>
    <cacheField name="Kuidas võistleb" numFmtId="0">
      <sharedItems containsBlank="1"/>
    </cacheField>
    <cacheField name="Võistluspäev" numFmtId="0">
      <sharedItems containsBlank="1"/>
    </cacheField>
    <cacheField name="1. seeria" numFmtId="0">
      <sharedItems containsString="0" containsBlank="1" containsNumber="1" minValue="0" maxValue="104.2"/>
    </cacheField>
    <cacheField name="2. seeria" numFmtId="0">
      <sharedItems containsString="0" containsBlank="1" containsNumber="1" minValue="0" maxValue="105.7"/>
    </cacheField>
    <cacheField name="3. seeria" numFmtId="0">
      <sharedItems containsString="0" containsBlank="1" containsNumber="1" minValue="0" maxValue="105.4"/>
    </cacheField>
    <cacheField name="4. seeria" numFmtId="0">
      <sharedItems containsString="0" containsBlank="1" containsNumber="1" containsInteger="1" minValue="21" maxValue="100"/>
    </cacheField>
    <cacheField name="5. seeria" numFmtId="0">
      <sharedItems containsString="0" containsBlank="1" containsNumber="1" containsInteger="1" minValue="27" maxValue="99"/>
    </cacheField>
    <cacheField name="6. seeria" numFmtId="0">
      <sharedItems containsString="0" containsBlank="1" containsNumber="1" containsInteger="1" minValue="21" maxValue="100"/>
    </cacheField>
    <cacheField name="KOKKU" numFmtId="0">
      <sharedItems containsString="0" containsBlank="1" containsNumber="1" minValue="71" maxValue="5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liver Kuks" refreshedDate="45181.467797337966" refreshedVersion="8" recordCount="511" xr:uid="{00000000-000A-0000-FFFF-FFFF00000000}">
  <cacheSource type="worksheet">
    <worksheetSource ref="A1:N512" sheet="StartList"/>
  </cacheSource>
  <cacheFields count="14">
    <cacheField name="Nimi" numFmtId="0">
      <sharedItems containsBlank="1"/>
    </cacheField>
    <cacheField name="Malev" numFmtId="0">
      <sharedItems containsBlank="1" count="17">
        <s v="Alutaguse"/>
        <s v="Järva"/>
        <s v="KKÜ"/>
        <s v="KL peastaap"/>
        <s v="Pärnumaa"/>
        <s v="Saaremaa"/>
        <s v="Tallinn"/>
        <s v="Valgamaa"/>
        <s v="Viru"/>
        <s v="Harju"/>
        <s v="Lääne"/>
        <s v="Põlva"/>
        <s v="Rapla"/>
        <s v="Sakala"/>
        <s v="Tartu"/>
        <s v="Võrumaa"/>
        <m/>
      </sharedItems>
    </cacheField>
    <cacheField name="Võistlusklass" numFmtId="0">
      <sharedItems containsBlank="1" count="7">
        <s v="M"/>
        <s v="N"/>
        <s v="MJ"/>
        <s v="NJ"/>
        <s v="P"/>
        <s v="T"/>
        <m/>
      </sharedItems>
    </cacheField>
    <cacheField name="VÕISTLUSALA" numFmtId="0">
      <sharedItems containsBlank="1" count="11">
        <s v="100m 3x10 H2"/>
        <s v="200 m 2x10 H3"/>
        <s v="25m .22 30+30 H8"/>
        <s v="25m .22 H9"/>
        <s v="25m 9,0mm H5"/>
        <s v="300m H1"/>
        <s v="300m VABA H1V"/>
        <s v="50m 3x20 H6"/>
        <s v="50m lamades H7"/>
        <s v="50m liikuv H4"/>
        <m/>
      </sharedItems>
    </cacheField>
    <cacheField name="Kuidas võistleb" numFmtId="0">
      <sharedItems containsBlank="1" count="3">
        <s v="Võistkond"/>
        <s v="Individuaalne"/>
        <m/>
      </sharedItems>
    </cacheField>
    <cacheField name="Võistluspäev" numFmtId="0">
      <sharedItems containsBlank="1"/>
    </cacheField>
    <cacheField name="1. seeria" numFmtId="0">
      <sharedItems containsString="0" containsBlank="1" containsNumber="1" minValue="0" maxValue="104.2"/>
    </cacheField>
    <cacheField name="2. seeria" numFmtId="0">
      <sharedItems containsString="0" containsBlank="1" containsNumber="1" minValue="0" maxValue="105.7"/>
    </cacheField>
    <cacheField name="3. seeria" numFmtId="0">
      <sharedItems containsString="0" containsBlank="1" containsNumber="1" minValue="0" maxValue="105.4"/>
    </cacheField>
    <cacheField name="4. seeria" numFmtId="0">
      <sharedItems containsString="0" containsBlank="1" containsNumber="1" containsInteger="1" minValue="21" maxValue="100"/>
    </cacheField>
    <cacheField name="5. seeria" numFmtId="0">
      <sharedItems containsString="0" containsBlank="1" containsNumber="1" containsInteger="1" minValue="27" maxValue="99"/>
    </cacheField>
    <cacheField name="6. seeria" numFmtId="0">
      <sharedItems containsString="0" containsBlank="1" containsNumber="1" containsInteger="1" minValue="21" maxValue="100"/>
    </cacheField>
    <cacheField name="KOKKU" numFmtId="0">
      <sharedItems containsString="0" containsBlank="1" containsNumber="1" minValue="71" maxValue="589"/>
    </cacheField>
    <cacheField name="VÕISTK KOKKU" numFmtId="0">
      <sharedItems containsString="0" containsBlank="1" containsNumber="1" minValue="71" maxValue="313.20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">
  <r>
    <x v="0"/>
    <s v="Alutaguse"/>
    <x v="0"/>
    <x v="0"/>
    <s v="Võistkond"/>
    <s v="09.09.23"/>
    <n v="98"/>
    <n v="94"/>
    <n v="91"/>
    <m/>
    <m/>
    <m/>
    <n v="283"/>
  </r>
  <r>
    <x v="1"/>
    <s v="Alutaguse"/>
    <x v="0"/>
    <x v="0"/>
    <s v="Võistkond"/>
    <s v="09.09.23"/>
    <n v="94"/>
    <n v="84"/>
    <n v="88"/>
    <m/>
    <m/>
    <m/>
    <n v="266"/>
  </r>
  <r>
    <x v="2"/>
    <s v="Alutaguse"/>
    <x v="0"/>
    <x v="0"/>
    <s v="Võistkond"/>
    <s v="09.09.23"/>
    <n v="97"/>
    <n v="91"/>
    <n v="87"/>
    <m/>
    <m/>
    <m/>
    <n v="275"/>
  </r>
  <r>
    <x v="3"/>
    <s v="Alutaguse"/>
    <x v="1"/>
    <x v="0"/>
    <s v="Võistkond"/>
    <s v="09.09.23"/>
    <n v="94"/>
    <n v="85"/>
    <n v="56"/>
    <m/>
    <m/>
    <m/>
    <n v="235"/>
  </r>
  <r>
    <x v="4"/>
    <s v="Alutaguse"/>
    <x v="0"/>
    <x v="0"/>
    <s v="Individuaalne"/>
    <s v="09.09.23"/>
    <n v="98"/>
    <n v="93"/>
    <n v="77"/>
    <m/>
    <m/>
    <m/>
    <n v="268"/>
  </r>
  <r>
    <x v="5"/>
    <s v="Alutaguse"/>
    <x v="1"/>
    <x v="0"/>
    <s v="Individuaalne"/>
    <s v="09.09.23"/>
    <n v="97"/>
    <n v="92"/>
    <n v="81"/>
    <m/>
    <m/>
    <m/>
    <n v="270"/>
  </r>
  <r>
    <x v="6"/>
    <s v="Järva"/>
    <x v="0"/>
    <x v="0"/>
    <s v="Võistkond"/>
    <s v="09.09.23"/>
    <n v="97"/>
    <n v="92"/>
    <n v="89"/>
    <m/>
    <m/>
    <m/>
    <n v="278"/>
  </r>
  <r>
    <x v="7"/>
    <s v="Järva"/>
    <x v="1"/>
    <x v="0"/>
    <s v="Võistkond"/>
    <s v="09.09.23"/>
    <n v="88"/>
    <n v="78"/>
    <n v="62"/>
    <m/>
    <m/>
    <m/>
    <n v="228"/>
  </r>
  <r>
    <x v="8"/>
    <s v="Järva"/>
    <x v="0"/>
    <x v="0"/>
    <s v="Võistkond"/>
    <s v="09.09.23"/>
    <n v="96"/>
    <n v="87"/>
    <n v="57"/>
    <m/>
    <m/>
    <m/>
    <n v="240"/>
  </r>
  <r>
    <x v="9"/>
    <s v="Järva"/>
    <x v="0"/>
    <x v="0"/>
    <s v="Individuaalne"/>
    <s v="09.09.23"/>
    <n v="97"/>
    <n v="87"/>
    <n v="86"/>
    <m/>
    <m/>
    <m/>
    <n v="270"/>
  </r>
  <r>
    <x v="10"/>
    <s v="Järva"/>
    <x v="0"/>
    <x v="0"/>
    <s v="Võistkond"/>
    <s v="09.09.23"/>
    <n v="92"/>
    <n v="90"/>
    <n v="74"/>
    <m/>
    <m/>
    <m/>
    <n v="256"/>
  </r>
  <r>
    <x v="11"/>
    <s v="KKÜ"/>
    <x v="0"/>
    <x v="0"/>
    <s v="Võistkond"/>
    <s v="09.09.23"/>
    <n v="95"/>
    <n v="97"/>
    <n v="88"/>
    <m/>
    <m/>
    <m/>
    <n v="280"/>
  </r>
  <r>
    <x v="12"/>
    <s v="KKÜ"/>
    <x v="0"/>
    <x v="0"/>
    <s v="Võistkond"/>
    <s v="09.09.23"/>
    <n v="89"/>
    <n v="75"/>
    <n v="69"/>
    <m/>
    <m/>
    <m/>
    <n v="233"/>
  </r>
  <r>
    <x v="13"/>
    <s v="KKÜ"/>
    <x v="0"/>
    <x v="0"/>
    <s v="Võistkond"/>
    <s v="09.09.23"/>
    <n v="96"/>
    <n v="89"/>
    <n v="85"/>
    <m/>
    <m/>
    <m/>
    <n v="270"/>
  </r>
  <r>
    <x v="14"/>
    <s v="KKÜ"/>
    <x v="1"/>
    <x v="0"/>
    <s v="Võistkond"/>
    <s v="09.09.23"/>
    <n v="80"/>
    <n v="73"/>
    <n v="65"/>
    <m/>
    <m/>
    <m/>
    <n v="218"/>
  </r>
  <r>
    <x v="15"/>
    <s v="KKÜ"/>
    <x v="0"/>
    <x v="0"/>
    <s v="Individuaalne"/>
    <s v="09.09.23"/>
    <n v="88"/>
    <n v="69"/>
    <n v="62"/>
    <m/>
    <m/>
    <m/>
    <n v="219"/>
  </r>
  <r>
    <x v="16"/>
    <s v="KL peastaap"/>
    <x v="1"/>
    <x v="0"/>
    <s v="Võistkond"/>
    <s v="09.09.23"/>
    <n v="97"/>
    <n v="99"/>
    <n v="92"/>
    <m/>
    <m/>
    <m/>
    <n v="288"/>
  </r>
  <r>
    <x v="17"/>
    <s v="KL peastaap"/>
    <x v="0"/>
    <x v="0"/>
    <s v="Võistkond"/>
    <s v="09.09.23"/>
    <n v="95"/>
    <n v="96"/>
    <n v="78"/>
    <m/>
    <m/>
    <m/>
    <n v="269"/>
  </r>
  <r>
    <x v="18"/>
    <s v="KL peastaap"/>
    <x v="0"/>
    <x v="0"/>
    <s v="Võistkond"/>
    <s v="09.09.23"/>
    <n v="92"/>
    <n v="87"/>
    <n v="79"/>
    <m/>
    <m/>
    <m/>
    <n v="258"/>
  </r>
  <r>
    <x v="19"/>
    <s v="KL peastaap"/>
    <x v="0"/>
    <x v="0"/>
    <s v="Võistkond"/>
    <s v="09.09.23"/>
    <n v="91"/>
    <n v="85"/>
    <n v="55"/>
    <m/>
    <m/>
    <m/>
    <n v="231"/>
  </r>
  <r>
    <x v="20"/>
    <s v="Pärnumaa"/>
    <x v="0"/>
    <x v="0"/>
    <s v="Võistkond"/>
    <s v="09.09.23"/>
    <n v="96"/>
    <n v="96"/>
    <n v="92"/>
    <m/>
    <m/>
    <m/>
    <n v="284"/>
  </r>
  <r>
    <x v="21"/>
    <s v="Pärnumaa"/>
    <x v="0"/>
    <x v="0"/>
    <s v="Võistkond"/>
    <s v="09.09.23"/>
    <n v="93"/>
    <n v="96"/>
    <n v="79"/>
    <m/>
    <m/>
    <m/>
    <n v="268"/>
  </r>
  <r>
    <x v="22"/>
    <s v="Pärnumaa"/>
    <x v="1"/>
    <x v="0"/>
    <s v="Võistkond"/>
    <s v="09.09.23"/>
    <n v="91"/>
    <n v="73"/>
    <n v="50"/>
    <m/>
    <m/>
    <m/>
    <n v="214"/>
  </r>
  <r>
    <x v="23"/>
    <s v="Pärnumaa"/>
    <x v="0"/>
    <x v="0"/>
    <s v="Võistkond"/>
    <s v="09.09.23"/>
    <n v="97"/>
    <n v="87"/>
    <n v="86"/>
    <m/>
    <m/>
    <m/>
    <n v="270"/>
  </r>
  <r>
    <x v="24"/>
    <s v="Saaremaa"/>
    <x v="0"/>
    <x v="0"/>
    <s v="Võistkond"/>
    <s v="09.09.23"/>
    <n v="90"/>
    <n v="90"/>
    <n v="79"/>
    <m/>
    <m/>
    <m/>
    <n v="259"/>
  </r>
  <r>
    <x v="25"/>
    <s v="Saaremaa"/>
    <x v="0"/>
    <x v="0"/>
    <s v="Võistkond"/>
    <s v="09.09.23"/>
    <n v="89"/>
    <n v="87"/>
    <n v="86"/>
    <m/>
    <m/>
    <m/>
    <n v="262"/>
  </r>
  <r>
    <x v="26"/>
    <s v="Saaremaa"/>
    <x v="0"/>
    <x v="0"/>
    <s v="Võistkond"/>
    <s v="09.09.23"/>
    <n v="67"/>
    <n v="67"/>
    <n v="59"/>
    <m/>
    <m/>
    <m/>
    <n v="193"/>
  </r>
  <r>
    <x v="27"/>
    <s v="Saaremaa"/>
    <x v="1"/>
    <x v="0"/>
    <s v="Võistkond"/>
    <s v="09.09.23"/>
    <n v="77"/>
    <n v="13"/>
    <n v="30"/>
    <m/>
    <m/>
    <m/>
    <n v="120"/>
  </r>
  <r>
    <x v="28"/>
    <s v="Tallinn"/>
    <x v="0"/>
    <x v="0"/>
    <s v="Võistkond"/>
    <s v="09.09.23"/>
    <n v="95"/>
    <n v="89"/>
    <n v="90"/>
    <m/>
    <m/>
    <m/>
    <n v="274"/>
  </r>
  <r>
    <x v="29"/>
    <s v="Tallinn"/>
    <x v="0"/>
    <x v="0"/>
    <s v="Võistkond"/>
    <s v="09.09.23"/>
    <n v="97"/>
    <n v="90"/>
    <n v="92"/>
    <m/>
    <m/>
    <m/>
    <n v="279"/>
  </r>
  <r>
    <x v="30"/>
    <s v="Tallinn"/>
    <x v="1"/>
    <x v="0"/>
    <s v="Võistkond"/>
    <s v="09.09.23"/>
    <n v="89"/>
    <n v="93"/>
    <n v="92"/>
    <m/>
    <m/>
    <m/>
    <n v="274"/>
  </r>
  <r>
    <x v="31"/>
    <s v="Tallinn"/>
    <x v="0"/>
    <x v="0"/>
    <s v="Võistkond"/>
    <s v="09.09.23"/>
    <n v="98"/>
    <n v="91"/>
    <n v="92"/>
    <m/>
    <m/>
    <m/>
    <n v="281"/>
  </r>
  <r>
    <x v="32"/>
    <s v="Tallinn"/>
    <x v="1"/>
    <x v="0"/>
    <s v="Individuaalne"/>
    <s v="09.09.23"/>
    <n v="92"/>
    <n v="92"/>
    <n v="92"/>
    <m/>
    <m/>
    <m/>
    <n v="276"/>
  </r>
  <r>
    <x v="33"/>
    <s v="Tallinn"/>
    <x v="1"/>
    <x v="0"/>
    <s v="Individuaalne"/>
    <s v="09.09.23"/>
    <n v="88"/>
    <n v="89"/>
    <n v="80"/>
    <m/>
    <m/>
    <m/>
    <n v="257"/>
  </r>
  <r>
    <x v="34"/>
    <s v="Tallinn"/>
    <x v="1"/>
    <x v="0"/>
    <s v="Individuaalne"/>
    <s v="09.09.23"/>
    <n v="86"/>
    <n v="85"/>
    <n v="81"/>
    <m/>
    <m/>
    <m/>
    <n v="252"/>
  </r>
  <r>
    <x v="35"/>
    <s v="Valgamaa"/>
    <x v="1"/>
    <x v="0"/>
    <s v="Võistkond"/>
    <s v="09.09.23"/>
    <n v="95"/>
    <n v="90"/>
    <n v="83"/>
    <m/>
    <m/>
    <m/>
    <n v="268"/>
  </r>
  <r>
    <x v="36"/>
    <s v="Viru"/>
    <x v="1"/>
    <x v="0"/>
    <s v="Võistkond"/>
    <s v="09.09.23"/>
    <n v="91"/>
    <n v="77"/>
    <n v="90"/>
    <m/>
    <m/>
    <m/>
    <n v="258"/>
  </r>
  <r>
    <x v="37"/>
    <s v="Tallinn"/>
    <x v="0"/>
    <x v="0"/>
    <s v="Individuaalne"/>
    <s v="09.09.23"/>
    <n v="93"/>
    <n v="89"/>
    <n v="86"/>
    <m/>
    <m/>
    <m/>
    <n v="268"/>
  </r>
  <r>
    <x v="38"/>
    <s v="Harju"/>
    <x v="0"/>
    <x v="0"/>
    <s v="Võistkond"/>
    <s v="10.09.23"/>
    <n v="92"/>
    <n v="89"/>
    <n v="91"/>
    <m/>
    <m/>
    <m/>
    <n v="272"/>
  </r>
  <r>
    <x v="39"/>
    <s v="Harju"/>
    <x v="1"/>
    <x v="0"/>
    <s v="Võistkond"/>
    <s v="10.09.23"/>
    <n v="76"/>
    <n v="71"/>
    <n v="60"/>
    <m/>
    <m/>
    <m/>
    <n v="207"/>
  </r>
  <r>
    <x v="40"/>
    <s v="Harju"/>
    <x v="0"/>
    <x v="0"/>
    <s v="Võistkond"/>
    <s v="10.09.23"/>
    <n v="87"/>
    <n v="83"/>
    <n v="84"/>
    <m/>
    <m/>
    <m/>
    <n v="254"/>
  </r>
  <r>
    <x v="41"/>
    <s v="Harju"/>
    <x v="0"/>
    <x v="0"/>
    <s v="Võistkond"/>
    <s v="10.09.23"/>
    <n v="95"/>
    <n v="84"/>
    <n v="70"/>
    <m/>
    <m/>
    <m/>
    <n v="249"/>
  </r>
  <r>
    <x v="42"/>
    <s v="Lääne"/>
    <x v="0"/>
    <x v="0"/>
    <s v="Võistkond"/>
    <s v="10.09.23"/>
    <n v="90"/>
    <n v="76"/>
    <n v="44"/>
    <m/>
    <m/>
    <m/>
    <n v="210"/>
  </r>
  <r>
    <x v="43"/>
    <s v="Lääne"/>
    <x v="1"/>
    <x v="0"/>
    <s v="Võistkond"/>
    <s v="10.09.23"/>
    <n v="97"/>
    <n v="88"/>
    <n v="70"/>
    <m/>
    <m/>
    <m/>
    <n v="255"/>
  </r>
  <r>
    <x v="44"/>
    <s v="Lääne"/>
    <x v="0"/>
    <x v="0"/>
    <s v="Võistkond"/>
    <s v="10.09.23"/>
    <n v="91"/>
    <n v="85"/>
    <n v="72"/>
    <m/>
    <m/>
    <m/>
    <n v="248"/>
  </r>
  <r>
    <x v="45"/>
    <s v="Lääne"/>
    <x v="0"/>
    <x v="0"/>
    <s v="Individuaalne"/>
    <s v="10.09.23"/>
    <n v="98"/>
    <n v="92"/>
    <n v="92"/>
    <m/>
    <m/>
    <m/>
    <n v="282"/>
  </r>
  <r>
    <x v="46"/>
    <s v="Lääne"/>
    <x v="0"/>
    <x v="0"/>
    <s v="Võistkond"/>
    <s v="10.09.23"/>
    <n v="92"/>
    <n v="88"/>
    <n v="72"/>
    <m/>
    <m/>
    <m/>
    <n v="252"/>
  </r>
  <r>
    <x v="47"/>
    <s v="Põlva"/>
    <x v="0"/>
    <x v="0"/>
    <s v="Võistkond"/>
    <s v="10.09.23"/>
    <n v="85"/>
    <n v="86"/>
    <n v="66"/>
    <m/>
    <m/>
    <m/>
    <n v="237"/>
  </r>
  <r>
    <x v="48"/>
    <s v="Põlva"/>
    <x v="1"/>
    <x v="0"/>
    <s v="Võistkond"/>
    <s v="10.09.23"/>
    <n v="89"/>
    <n v="60"/>
    <n v="66"/>
    <m/>
    <m/>
    <m/>
    <n v="215"/>
  </r>
  <r>
    <x v="49"/>
    <s v="Põlva"/>
    <x v="0"/>
    <x v="0"/>
    <s v="Võistkond"/>
    <s v="10.09.23"/>
    <n v="94"/>
    <n v="92"/>
    <n v="74"/>
    <m/>
    <m/>
    <m/>
    <n v="260"/>
  </r>
  <r>
    <x v="50"/>
    <s v="Põlva"/>
    <x v="0"/>
    <x v="0"/>
    <s v="Võistkond"/>
    <s v="10.09.23"/>
    <n v="88"/>
    <n v="91"/>
    <n v="87"/>
    <m/>
    <m/>
    <m/>
    <n v="266"/>
  </r>
  <r>
    <x v="51"/>
    <s v="Rapla"/>
    <x v="1"/>
    <x v="0"/>
    <s v="Võistkond"/>
    <s v="10.09.23"/>
    <n v="87"/>
    <n v="88"/>
    <n v="87"/>
    <m/>
    <m/>
    <m/>
    <n v="262"/>
  </r>
  <r>
    <x v="52"/>
    <s v="Rapla"/>
    <x v="0"/>
    <x v="0"/>
    <s v="Võistkond"/>
    <s v="10.09.23"/>
    <n v="84"/>
    <n v="83"/>
    <n v="82"/>
    <m/>
    <m/>
    <m/>
    <n v="249"/>
  </r>
  <r>
    <x v="53"/>
    <s v="Rapla"/>
    <x v="0"/>
    <x v="0"/>
    <s v="Võistkond"/>
    <s v="10.09.23"/>
    <n v="90"/>
    <n v="81"/>
    <n v="64"/>
    <m/>
    <m/>
    <m/>
    <n v="235"/>
  </r>
  <r>
    <x v="54"/>
    <s v="Rapla"/>
    <x v="0"/>
    <x v="0"/>
    <s v="Võistkond"/>
    <s v="10.09.23"/>
    <n v="93"/>
    <n v="92"/>
    <n v="88"/>
    <m/>
    <m/>
    <m/>
    <n v="273"/>
  </r>
  <r>
    <x v="55"/>
    <s v="Sakala"/>
    <x v="0"/>
    <x v="0"/>
    <s v="Individuaalne"/>
    <s v="10.09.23"/>
    <n v="94"/>
    <n v="91"/>
    <n v="86"/>
    <m/>
    <m/>
    <m/>
    <n v="271"/>
  </r>
  <r>
    <x v="56"/>
    <s v="Sakala"/>
    <x v="0"/>
    <x v="0"/>
    <s v="Võistkond"/>
    <s v="10.09.23"/>
    <n v="94"/>
    <n v="92"/>
    <n v="83"/>
    <m/>
    <m/>
    <m/>
    <n v="269"/>
  </r>
  <r>
    <x v="57"/>
    <s v="Sakala"/>
    <x v="1"/>
    <x v="0"/>
    <s v="Võistkond"/>
    <s v="10.09.23"/>
    <n v="80"/>
    <n v="64"/>
    <n v="69"/>
    <m/>
    <m/>
    <m/>
    <n v="213"/>
  </r>
  <r>
    <x v="58"/>
    <s v="Sakala"/>
    <x v="0"/>
    <x v="0"/>
    <s v="Võistkond"/>
    <s v="10.09.23"/>
    <n v="87"/>
    <n v="88"/>
    <n v="66"/>
    <m/>
    <m/>
    <m/>
    <n v="241"/>
  </r>
  <r>
    <x v="59"/>
    <s v="Sakala"/>
    <x v="0"/>
    <x v="0"/>
    <s v="Võistkond"/>
    <s v="10.09.23"/>
    <n v="63"/>
    <n v="39"/>
    <n v="35"/>
    <m/>
    <m/>
    <m/>
    <n v="137"/>
  </r>
  <r>
    <x v="60"/>
    <s v="Tartu"/>
    <x v="1"/>
    <x v="0"/>
    <s v="Võistkond"/>
    <s v="10.09.23"/>
    <n v="95"/>
    <n v="93"/>
    <n v="75"/>
    <m/>
    <m/>
    <m/>
    <n v="263"/>
  </r>
  <r>
    <x v="61"/>
    <s v="Tartu"/>
    <x v="0"/>
    <x v="0"/>
    <s v="Võistkond"/>
    <s v="10.09.23"/>
    <n v="91"/>
    <n v="89"/>
    <n v="79"/>
    <m/>
    <m/>
    <m/>
    <n v="259"/>
  </r>
  <r>
    <x v="62"/>
    <s v="Tartu"/>
    <x v="0"/>
    <x v="0"/>
    <s v="Võistkond"/>
    <s v="10.09.23"/>
    <n v="91"/>
    <n v="92"/>
    <n v="82"/>
    <m/>
    <m/>
    <m/>
    <n v="265"/>
  </r>
  <r>
    <x v="63"/>
    <s v="Tartu"/>
    <x v="0"/>
    <x v="0"/>
    <s v="Individuaalne"/>
    <s v="10.09.23"/>
    <n v="90"/>
    <n v="72"/>
    <n v="66"/>
    <m/>
    <m/>
    <m/>
    <n v="228"/>
  </r>
  <r>
    <x v="64"/>
    <s v="Tartu"/>
    <x v="0"/>
    <x v="0"/>
    <s v="Võistkond"/>
    <s v="10.09.23"/>
    <n v="91"/>
    <n v="92"/>
    <n v="96"/>
    <m/>
    <m/>
    <m/>
    <n v="279"/>
  </r>
  <r>
    <x v="65"/>
    <s v="Viru"/>
    <x v="0"/>
    <x v="0"/>
    <s v="Võistkond"/>
    <s v="10.09.23"/>
    <n v="95"/>
    <n v="90"/>
    <n v="85"/>
    <m/>
    <m/>
    <m/>
    <n v="270"/>
  </r>
  <r>
    <x v="66"/>
    <s v="Viru"/>
    <x v="0"/>
    <x v="0"/>
    <s v="Võistkond"/>
    <s v="10.09.23"/>
    <n v="96"/>
    <n v="90"/>
    <n v="83"/>
    <m/>
    <m/>
    <m/>
    <n v="269"/>
  </r>
  <r>
    <x v="67"/>
    <s v="Viru"/>
    <x v="0"/>
    <x v="0"/>
    <s v="Võistkond"/>
    <s v="10.09.23"/>
    <n v="96"/>
    <n v="93"/>
    <n v="87"/>
    <m/>
    <m/>
    <m/>
    <n v="276"/>
  </r>
  <r>
    <x v="68"/>
    <s v="Võrumaa"/>
    <x v="0"/>
    <x v="0"/>
    <s v="Võistkond"/>
    <s v="10.09.23"/>
    <n v="95"/>
    <n v="96"/>
    <n v="88"/>
    <m/>
    <m/>
    <m/>
    <n v="279"/>
  </r>
  <r>
    <x v="69"/>
    <s v="Võrumaa"/>
    <x v="0"/>
    <x v="0"/>
    <s v="Võistkond"/>
    <s v="10.09.23"/>
    <n v="87"/>
    <n v="57"/>
    <n v="76"/>
    <m/>
    <m/>
    <m/>
    <n v="220"/>
  </r>
  <r>
    <x v="70"/>
    <s v="Võrumaa"/>
    <x v="0"/>
    <x v="0"/>
    <s v="Võistkond"/>
    <s v="10.09.23"/>
    <n v="81"/>
    <n v="75"/>
    <n v="63"/>
    <m/>
    <m/>
    <m/>
    <n v="219"/>
  </r>
  <r>
    <x v="71"/>
    <s v="Võrumaa"/>
    <x v="1"/>
    <x v="0"/>
    <s v="Võistkond"/>
    <s v="10.09.23"/>
    <n v="71"/>
    <n v="57"/>
    <n v="56"/>
    <m/>
    <m/>
    <m/>
    <n v="184"/>
  </r>
  <r>
    <x v="72"/>
    <s v="Võrumaa"/>
    <x v="0"/>
    <x v="0"/>
    <s v="Individuaalne"/>
    <s v="10.09.23"/>
    <n v="90"/>
    <n v="90"/>
    <n v="83"/>
    <m/>
    <m/>
    <m/>
    <n v="263"/>
  </r>
  <r>
    <x v="73"/>
    <s v="Võrumaa"/>
    <x v="1"/>
    <x v="0"/>
    <s v="Individuaalne"/>
    <s v="10.09.23"/>
    <n v="62"/>
    <n v="87"/>
    <n v="63"/>
    <m/>
    <m/>
    <m/>
    <n v="212"/>
  </r>
  <r>
    <x v="74"/>
    <s v="Tallinn"/>
    <x v="0"/>
    <x v="0"/>
    <s v="Individuaalne"/>
    <s v="09.09.23"/>
    <n v="87"/>
    <n v="86"/>
    <n v="84"/>
    <m/>
    <m/>
    <m/>
    <n v="257"/>
  </r>
  <r>
    <x v="75"/>
    <s v="Harju"/>
    <x v="0"/>
    <x v="0"/>
    <s v="Individuaalne"/>
    <s v="10.09.23"/>
    <n v="88"/>
    <n v="94"/>
    <n v="88"/>
    <m/>
    <m/>
    <m/>
    <n v="270"/>
  </r>
  <r>
    <x v="76"/>
    <s v="Lääne"/>
    <x v="1"/>
    <x v="0"/>
    <s v="Individuaalne"/>
    <s v="10.09.23"/>
    <n v="97"/>
    <n v="89"/>
    <n v="67"/>
    <m/>
    <m/>
    <m/>
    <n v="253"/>
  </r>
  <r>
    <x v="2"/>
    <s v="Alutaguse"/>
    <x v="0"/>
    <x v="1"/>
    <s v="Võistkond"/>
    <s v="09.09.23"/>
    <n v="89"/>
    <n v="74"/>
    <m/>
    <m/>
    <m/>
    <m/>
    <n v="163"/>
  </r>
  <r>
    <x v="77"/>
    <s v="Alutaguse"/>
    <x v="0"/>
    <x v="1"/>
    <s v="Individuaalne"/>
    <s v="09.09.23"/>
    <n v="90"/>
    <n v="84"/>
    <m/>
    <m/>
    <m/>
    <m/>
    <n v="174"/>
  </r>
  <r>
    <x v="78"/>
    <s v="Järva"/>
    <x v="0"/>
    <x v="1"/>
    <s v="Võistkond"/>
    <s v="09.09.23"/>
    <n v="72"/>
    <n v="69"/>
    <m/>
    <m/>
    <m/>
    <m/>
    <n v="141"/>
  </r>
  <r>
    <x v="8"/>
    <s v="Järva"/>
    <x v="0"/>
    <x v="1"/>
    <s v="Individuaalne"/>
    <s v="09.09.23"/>
    <n v="70"/>
    <n v="53"/>
    <m/>
    <m/>
    <m/>
    <m/>
    <n v="123"/>
  </r>
  <r>
    <x v="79"/>
    <s v="KKÜ"/>
    <x v="0"/>
    <x v="1"/>
    <s v="Individuaalne"/>
    <s v="09.09.23"/>
    <n v="53"/>
    <n v="66"/>
    <m/>
    <m/>
    <m/>
    <m/>
    <n v="119"/>
  </r>
  <r>
    <x v="15"/>
    <s v="KKÜ"/>
    <x v="0"/>
    <x v="1"/>
    <s v="Võistkond"/>
    <s v="09.09.23"/>
    <n v="67"/>
    <n v="60"/>
    <m/>
    <m/>
    <m/>
    <m/>
    <n v="127"/>
  </r>
  <r>
    <x v="80"/>
    <s v="KL peastaap"/>
    <x v="0"/>
    <x v="1"/>
    <s v="Võistkond"/>
    <s v="09.09.23"/>
    <n v="76"/>
    <n v="59"/>
    <m/>
    <m/>
    <m/>
    <m/>
    <n v="135"/>
  </r>
  <r>
    <x v="81"/>
    <s v="Pärnumaa"/>
    <x v="0"/>
    <x v="1"/>
    <s v="Võistkond"/>
    <s v="09.09.23"/>
    <n v="87"/>
    <n v="79"/>
    <m/>
    <m/>
    <m/>
    <m/>
    <n v="166"/>
  </r>
  <r>
    <x v="82"/>
    <s v="Saaremaa"/>
    <x v="0"/>
    <x v="1"/>
    <s v="Võistkond"/>
    <s v="09.09.23"/>
    <n v="77"/>
    <n v="64"/>
    <m/>
    <m/>
    <m/>
    <m/>
    <n v="141"/>
  </r>
  <r>
    <x v="31"/>
    <s v="Tallinn"/>
    <x v="0"/>
    <x v="1"/>
    <s v="Individuaalne"/>
    <s v="09.09.23"/>
    <n v="93"/>
    <n v="86"/>
    <m/>
    <m/>
    <m/>
    <m/>
    <n v="179"/>
  </r>
  <r>
    <x v="83"/>
    <s v="Tallinn"/>
    <x v="0"/>
    <x v="1"/>
    <s v="Võistkond"/>
    <s v="09.09.23"/>
    <n v="95"/>
    <n v="89"/>
    <m/>
    <m/>
    <m/>
    <m/>
    <n v="184"/>
  </r>
  <r>
    <x v="84"/>
    <s v="Valgamaa"/>
    <x v="1"/>
    <x v="1"/>
    <s v="Võistkond"/>
    <s v="09.09.23"/>
    <n v="95"/>
    <n v="91"/>
    <m/>
    <m/>
    <m/>
    <m/>
    <n v="186"/>
  </r>
  <r>
    <x v="85"/>
    <s v="Harju"/>
    <x v="0"/>
    <x v="1"/>
    <s v="Võistkond"/>
    <s v="10.09.23"/>
    <n v="83"/>
    <n v="60"/>
    <m/>
    <m/>
    <m/>
    <m/>
    <n v="143"/>
  </r>
  <r>
    <x v="86"/>
    <s v="Lääne"/>
    <x v="0"/>
    <x v="1"/>
    <s v="Võistkond"/>
    <s v="10.09.23"/>
    <n v="84"/>
    <n v="78"/>
    <m/>
    <m/>
    <m/>
    <m/>
    <n v="162"/>
  </r>
  <r>
    <x v="45"/>
    <s v="Lääne"/>
    <x v="0"/>
    <x v="1"/>
    <s v="Individuaalne"/>
    <s v="10.09.23"/>
    <n v="85"/>
    <n v="89"/>
    <m/>
    <m/>
    <m/>
    <m/>
    <n v="174"/>
  </r>
  <r>
    <x v="87"/>
    <s v="Põlva"/>
    <x v="0"/>
    <x v="1"/>
    <s v="Võistkond"/>
    <s v="10.09.23"/>
    <n v="82"/>
    <n v="85"/>
    <m/>
    <m/>
    <m/>
    <m/>
    <n v="167"/>
  </r>
  <r>
    <x v="88"/>
    <s v="Sakala"/>
    <x v="1"/>
    <x v="1"/>
    <s v="Võistkond"/>
    <s v="10.09.23"/>
    <n v="74"/>
    <n v="64"/>
    <m/>
    <m/>
    <m/>
    <m/>
    <n v="138"/>
  </r>
  <r>
    <x v="89"/>
    <s v="Sakala"/>
    <x v="1"/>
    <x v="1"/>
    <s v="Individuaalne"/>
    <s v="10.09.23"/>
    <n v="51"/>
    <n v="54"/>
    <m/>
    <m/>
    <m/>
    <m/>
    <n v="105"/>
  </r>
  <r>
    <x v="58"/>
    <s v="Sakala"/>
    <x v="0"/>
    <x v="1"/>
    <s v="Individuaalne"/>
    <s v="10.09.23"/>
    <n v="69"/>
    <n v="61"/>
    <m/>
    <m/>
    <m/>
    <m/>
    <n v="130"/>
  </r>
  <r>
    <x v="61"/>
    <s v="Tartu"/>
    <x v="0"/>
    <x v="1"/>
    <s v="Individuaalne"/>
    <s v="10.09.23"/>
    <n v="80"/>
    <n v="91"/>
    <m/>
    <m/>
    <m/>
    <m/>
    <n v="171"/>
  </r>
  <r>
    <x v="90"/>
    <s v="Tartu"/>
    <x v="0"/>
    <x v="1"/>
    <s v="Individuaalne"/>
    <s v="10.09.23"/>
    <n v="74"/>
    <n v="84"/>
    <m/>
    <m/>
    <m/>
    <m/>
    <n v="158"/>
  </r>
  <r>
    <x v="60"/>
    <s v="Tartu"/>
    <x v="1"/>
    <x v="1"/>
    <s v="Individuaalne"/>
    <s v="10.09.23"/>
    <n v="84"/>
    <n v="78"/>
    <m/>
    <m/>
    <m/>
    <m/>
    <n v="162"/>
  </r>
  <r>
    <x v="91"/>
    <s v="Tartu"/>
    <x v="0"/>
    <x v="1"/>
    <s v="Võistkond"/>
    <s v="10.09.23"/>
    <n v="88"/>
    <n v="81"/>
    <m/>
    <m/>
    <m/>
    <m/>
    <n v="169"/>
  </r>
  <r>
    <x v="92"/>
    <s v="Viru"/>
    <x v="0"/>
    <x v="1"/>
    <s v="Võistkond"/>
    <s v="10.09.23"/>
    <n v="73"/>
    <n v="73"/>
    <m/>
    <m/>
    <m/>
    <m/>
    <n v="146"/>
  </r>
  <r>
    <x v="93"/>
    <s v="Võrumaa"/>
    <x v="0"/>
    <x v="1"/>
    <s v="Võistkond"/>
    <s v="10.09.23"/>
    <n v="69"/>
    <n v="72"/>
    <m/>
    <m/>
    <m/>
    <m/>
    <n v="141"/>
  </r>
  <r>
    <x v="69"/>
    <s v="Võrumaa"/>
    <x v="0"/>
    <x v="1"/>
    <s v="Individuaalne"/>
    <s v="10.09.23"/>
    <n v="70"/>
    <n v="51"/>
    <m/>
    <m/>
    <m/>
    <m/>
    <n v="121"/>
  </r>
  <r>
    <x v="94"/>
    <s v="Võrumaa"/>
    <x v="0"/>
    <x v="1"/>
    <s v="Individuaalne"/>
    <s v="10.09.23"/>
    <n v="74"/>
    <n v="66"/>
    <m/>
    <m/>
    <m/>
    <m/>
    <n v="140"/>
  </r>
  <r>
    <x v="1"/>
    <s v="Alutaguse"/>
    <x v="0"/>
    <x v="1"/>
    <s v="Individuaalne"/>
    <s v="09.09.23"/>
    <n v="87"/>
    <n v="63"/>
    <m/>
    <m/>
    <m/>
    <m/>
    <n v="150"/>
  </r>
  <r>
    <x v="95"/>
    <s v="Tallinn"/>
    <x v="0"/>
    <x v="1"/>
    <s v="Individuaalne"/>
    <s v="09.09.23"/>
    <n v="84"/>
    <n v="88"/>
    <m/>
    <m/>
    <m/>
    <m/>
    <n v="172"/>
  </r>
  <r>
    <x v="76"/>
    <s v="Lääne"/>
    <x v="1"/>
    <x v="1"/>
    <s v="Individuaalne"/>
    <s v="10.09.23"/>
    <n v="80"/>
    <n v="89"/>
    <m/>
    <m/>
    <m/>
    <m/>
    <n v="169"/>
  </r>
  <r>
    <x v="96"/>
    <s v="Rapla"/>
    <x v="0"/>
    <x v="1"/>
    <s v="Võistkond"/>
    <s v="10.09.23"/>
    <n v="33"/>
    <n v="40"/>
    <m/>
    <m/>
    <m/>
    <m/>
    <n v="73"/>
  </r>
  <r>
    <x v="64"/>
    <s v="Tartu"/>
    <x v="0"/>
    <x v="1"/>
    <s v="Individuaalne"/>
    <s v="10.09.23"/>
    <n v="77"/>
    <n v="64"/>
    <m/>
    <m/>
    <m/>
    <m/>
    <n v="141"/>
  </r>
  <r>
    <x v="62"/>
    <s v="Tartu"/>
    <x v="0"/>
    <x v="1"/>
    <s v="Individuaalne"/>
    <s v="10.09.23"/>
    <n v="75"/>
    <n v="71"/>
    <m/>
    <m/>
    <m/>
    <m/>
    <n v="146"/>
  </r>
  <r>
    <x v="63"/>
    <s v="Tartu"/>
    <x v="0"/>
    <x v="1"/>
    <s v="Individuaalne"/>
    <s v="10.09.23"/>
    <n v="77"/>
    <n v="76"/>
    <m/>
    <m/>
    <m/>
    <m/>
    <n v="153"/>
  </r>
  <r>
    <x v="97"/>
    <s v="Alutaguse"/>
    <x v="2"/>
    <x v="2"/>
    <s v="Võistkond"/>
    <s v="09.09.23"/>
    <n v="88"/>
    <n v="90"/>
    <n v="86"/>
    <n v="86"/>
    <n v="90"/>
    <n v="89"/>
    <n v="529"/>
  </r>
  <r>
    <x v="98"/>
    <s v="Alutaguse"/>
    <x v="1"/>
    <x v="2"/>
    <s v="Võistkond"/>
    <s v="09.09.23"/>
    <n v="90"/>
    <n v="89"/>
    <n v="91"/>
    <n v="94"/>
    <n v="85"/>
    <n v="92"/>
    <n v="541"/>
  </r>
  <r>
    <x v="99"/>
    <s v="Järva"/>
    <x v="2"/>
    <x v="2"/>
    <s v="Võistkond"/>
    <s v="09.09.23"/>
    <n v="83"/>
    <n v="89"/>
    <n v="88"/>
    <n v="95"/>
    <n v="94"/>
    <n v="93"/>
    <n v="542"/>
  </r>
  <r>
    <x v="100"/>
    <s v="Järva"/>
    <x v="1"/>
    <x v="2"/>
    <s v="Võistkond"/>
    <s v="09.09.23"/>
    <n v="95"/>
    <n v="95"/>
    <n v="94"/>
    <n v="96"/>
    <n v="90"/>
    <n v="92"/>
    <n v="562"/>
  </r>
  <r>
    <x v="101"/>
    <s v="KKÜ"/>
    <x v="1"/>
    <x v="2"/>
    <s v="Võistkond"/>
    <s v="09.09.23"/>
    <n v="74"/>
    <n v="81"/>
    <n v="81"/>
    <n v="21"/>
    <n v="50"/>
    <n v="48"/>
    <n v="355"/>
  </r>
  <r>
    <x v="82"/>
    <s v="Saaremaa"/>
    <x v="0"/>
    <x v="2"/>
    <s v="Võistkond"/>
    <s v="09.09.23"/>
    <n v="75"/>
    <n v="86"/>
    <n v="79"/>
    <n v="54"/>
    <n v="47"/>
    <n v="56"/>
    <n v="397"/>
  </r>
  <r>
    <x v="102"/>
    <s v="Tallinn"/>
    <x v="2"/>
    <x v="2"/>
    <s v="Individuaalne"/>
    <s v="09.09.23"/>
    <n v="92"/>
    <n v="91"/>
    <n v="91"/>
    <n v="89"/>
    <n v="93"/>
    <n v="92"/>
    <n v="548"/>
  </r>
  <r>
    <x v="103"/>
    <s v="Tallinn"/>
    <x v="1"/>
    <x v="2"/>
    <s v="Võistkond"/>
    <s v="09.09.23"/>
    <n v="91"/>
    <n v="87"/>
    <n v="90"/>
    <n v="90"/>
    <n v="91"/>
    <n v="90"/>
    <n v="539"/>
  </r>
  <r>
    <x v="104"/>
    <s v="Tallinn"/>
    <x v="0"/>
    <x v="2"/>
    <s v="Individuaalne"/>
    <s v="09.09.23"/>
    <n v="92"/>
    <n v="93"/>
    <n v="90"/>
    <n v="94"/>
    <n v="97"/>
    <n v="98"/>
    <n v="564"/>
  </r>
  <r>
    <x v="105"/>
    <s v="Valgamaa"/>
    <x v="0"/>
    <x v="2"/>
    <s v="Võistkond"/>
    <s v="09.09.23"/>
    <n v="88"/>
    <n v="96"/>
    <n v="92"/>
    <m/>
    <m/>
    <m/>
    <n v="276"/>
  </r>
  <r>
    <x v="106"/>
    <s v="Pärnumaa"/>
    <x v="0"/>
    <x v="2"/>
    <s v="Võistkond"/>
    <s v="09.09.23"/>
    <n v="0"/>
    <n v="0"/>
    <n v="0"/>
    <n v="92"/>
    <n v="93"/>
    <n v="83"/>
    <n v="268"/>
  </r>
  <r>
    <x v="107"/>
    <s v="Pärnumaa"/>
    <x v="1"/>
    <x v="2"/>
    <s v="Võistkond"/>
    <s v="09.09.23"/>
    <n v="0"/>
    <n v="0"/>
    <n v="0"/>
    <n v="50"/>
    <n v="65"/>
    <n v="75"/>
    <n v="190"/>
  </r>
  <r>
    <x v="108"/>
    <s v="Harju"/>
    <x v="1"/>
    <x v="2"/>
    <s v="Võistkond"/>
    <s v="10.09.23"/>
    <n v="86"/>
    <n v="91"/>
    <n v="92"/>
    <n v="79"/>
    <n v="91"/>
    <n v="81"/>
    <n v="520"/>
  </r>
  <r>
    <x v="109"/>
    <s v="Lääne"/>
    <x v="0"/>
    <x v="2"/>
    <s v="Võistkond"/>
    <s v="10.09.23"/>
    <n v="84"/>
    <n v="86"/>
    <n v="87"/>
    <n v="70"/>
    <n v="77"/>
    <n v="65"/>
    <n v="469"/>
  </r>
  <r>
    <x v="110"/>
    <s v="Lääne"/>
    <x v="1"/>
    <x v="2"/>
    <s v="Võistkond"/>
    <s v="10.09.23"/>
    <n v="94"/>
    <n v="99"/>
    <n v="95"/>
    <n v="93"/>
    <n v="92"/>
    <n v="95"/>
    <n v="568"/>
  </r>
  <r>
    <x v="111"/>
    <s v="Põlva"/>
    <x v="0"/>
    <x v="2"/>
    <s v="Võistkond"/>
    <s v="10.09.23"/>
    <n v="77"/>
    <n v="77"/>
    <n v="76"/>
    <n v="61"/>
    <n v="60"/>
    <n v="51"/>
    <n v="402"/>
  </r>
  <r>
    <x v="112"/>
    <s v="Põlva"/>
    <x v="1"/>
    <x v="2"/>
    <s v="Võistkond"/>
    <s v="10.09.23"/>
    <n v="75"/>
    <n v="78"/>
    <n v="83"/>
    <n v="56"/>
    <n v="65"/>
    <n v="69"/>
    <n v="426"/>
  </r>
  <r>
    <x v="113"/>
    <s v="Rapla"/>
    <x v="0"/>
    <x v="2"/>
    <s v="Võistkond"/>
    <s v="10.09.23"/>
    <n v="89"/>
    <n v="88"/>
    <n v="81"/>
    <n v="88"/>
    <n v="77"/>
    <n v="66"/>
    <n v="489"/>
  </r>
  <r>
    <x v="114"/>
    <s v="Rapla"/>
    <x v="1"/>
    <x v="2"/>
    <s v="Võistkond"/>
    <s v="10.09.23"/>
    <n v="94"/>
    <n v="92"/>
    <n v="89"/>
    <n v="93"/>
    <n v="91"/>
    <n v="99"/>
    <n v="558"/>
  </r>
  <r>
    <x v="90"/>
    <s v="Tartu"/>
    <x v="0"/>
    <x v="2"/>
    <s v="Võistkond"/>
    <s v="10.09.23"/>
    <n v="98"/>
    <n v="98"/>
    <n v="99"/>
    <n v="97"/>
    <n v="99"/>
    <n v="98"/>
    <n v="589"/>
  </r>
  <r>
    <x v="115"/>
    <s v="Tartu"/>
    <x v="3"/>
    <x v="2"/>
    <s v="Võistkond"/>
    <s v="10.09.23"/>
    <n v="84"/>
    <n v="82"/>
    <n v="94"/>
    <n v="71"/>
    <n v="77"/>
    <n v="90"/>
    <n v="498"/>
  </r>
  <r>
    <x v="116"/>
    <s v="Viru"/>
    <x v="0"/>
    <x v="2"/>
    <s v="Võistkond"/>
    <s v="10.09.23"/>
    <n v="90"/>
    <n v="85"/>
    <n v="91"/>
    <n v="97"/>
    <n v="90"/>
    <n v="90"/>
    <n v="543"/>
  </r>
  <r>
    <x v="117"/>
    <s v="Võrumaa"/>
    <x v="1"/>
    <x v="2"/>
    <s v="Võistkond"/>
    <s v="10.09.23"/>
    <n v="66"/>
    <n v="75"/>
    <n v="72"/>
    <n v="36"/>
    <n v="29"/>
    <n v="21"/>
    <n v="299"/>
  </r>
  <r>
    <x v="118"/>
    <s v="Võrumaa"/>
    <x v="0"/>
    <x v="2"/>
    <s v="Võistkond"/>
    <s v="10.09.23"/>
    <n v="79"/>
    <n v="89"/>
    <n v="84"/>
    <n v="71"/>
    <n v="93"/>
    <n v="89"/>
    <n v="505"/>
  </r>
  <r>
    <x v="119"/>
    <s v="Tallinn"/>
    <x v="0"/>
    <x v="2"/>
    <s v="Võistkond"/>
    <s v="09.09.23"/>
    <n v="93"/>
    <n v="95"/>
    <n v="96"/>
    <n v="96"/>
    <n v="97"/>
    <n v="100"/>
    <n v="577"/>
  </r>
  <r>
    <x v="120"/>
    <s v="Sakala"/>
    <x v="0"/>
    <x v="2"/>
    <s v="Võistkond"/>
    <s v="10.09.23"/>
    <n v="94"/>
    <n v="99"/>
    <n v="92"/>
    <n v="87"/>
    <n v="90"/>
    <n v="93"/>
    <n v="555"/>
  </r>
  <r>
    <x v="121"/>
    <s v="Sakala"/>
    <x v="3"/>
    <x v="2"/>
    <s v="Võistkond"/>
    <s v="10.09.23"/>
    <n v="93"/>
    <n v="94"/>
    <n v="95"/>
    <n v="99"/>
    <n v="95"/>
    <n v="98"/>
    <n v="574"/>
  </r>
  <r>
    <x v="0"/>
    <s v="Alutaguse"/>
    <x v="0"/>
    <x v="3"/>
    <s v="Võistkond"/>
    <s v="09.09.23"/>
    <n v="94"/>
    <n v="92"/>
    <n v="92"/>
    <m/>
    <m/>
    <m/>
    <n v="278"/>
  </r>
  <r>
    <x v="122"/>
    <s v="Alutaguse"/>
    <x v="2"/>
    <x v="3"/>
    <s v="Võistkond"/>
    <s v="09.09.23"/>
    <n v="84"/>
    <n v="85"/>
    <n v="83"/>
    <m/>
    <m/>
    <m/>
    <n v="252"/>
  </r>
  <r>
    <x v="123"/>
    <s v="Alutaguse"/>
    <x v="3"/>
    <x v="3"/>
    <s v="Võistkond"/>
    <s v="09.09.23"/>
    <n v="86"/>
    <n v="93"/>
    <n v="95"/>
    <m/>
    <m/>
    <m/>
    <n v="274"/>
  </r>
  <r>
    <x v="124"/>
    <s v="Alutaguse"/>
    <x v="1"/>
    <x v="3"/>
    <s v="Võistkond"/>
    <s v="09.09.23"/>
    <n v="91"/>
    <n v="96"/>
    <n v="92"/>
    <m/>
    <m/>
    <m/>
    <n v="279"/>
  </r>
  <r>
    <x v="125"/>
    <s v="Järva"/>
    <x v="0"/>
    <x v="3"/>
    <s v="Võistkond"/>
    <s v="09.09.23"/>
    <n v="97"/>
    <n v="99"/>
    <n v="91"/>
    <m/>
    <m/>
    <m/>
    <n v="287"/>
  </r>
  <r>
    <x v="126"/>
    <s v="Järva"/>
    <x v="1"/>
    <x v="3"/>
    <s v="Võistkond"/>
    <s v="09.09.23"/>
    <n v="87"/>
    <n v="79"/>
    <n v="90"/>
    <m/>
    <m/>
    <m/>
    <n v="256"/>
  </r>
  <r>
    <x v="127"/>
    <s v="Järva"/>
    <x v="2"/>
    <x v="3"/>
    <s v="Võistkond"/>
    <s v="09.09.23"/>
    <n v="78"/>
    <n v="92"/>
    <n v="91"/>
    <m/>
    <m/>
    <m/>
    <n v="261"/>
  </r>
  <r>
    <x v="128"/>
    <s v="Järva"/>
    <x v="3"/>
    <x v="3"/>
    <s v="Võistkond"/>
    <s v="09.09.23"/>
    <n v="54"/>
    <n v="62"/>
    <n v="54"/>
    <m/>
    <m/>
    <m/>
    <n v="170"/>
  </r>
  <r>
    <x v="129"/>
    <s v="Järva"/>
    <x v="0"/>
    <x v="3"/>
    <s v="Individuaalne"/>
    <s v="09.09.23"/>
    <n v="66"/>
    <n v="75"/>
    <n v="73"/>
    <m/>
    <m/>
    <m/>
    <n v="214"/>
  </r>
  <r>
    <x v="130"/>
    <s v="Järva"/>
    <x v="2"/>
    <x v="3"/>
    <s v="Individuaalne"/>
    <s v="09.09.23"/>
    <n v="69"/>
    <n v="66"/>
    <n v="87"/>
    <m/>
    <m/>
    <m/>
    <n v="222"/>
  </r>
  <r>
    <x v="79"/>
    <s v="KKÜ"/>
    <x v="0"/>
    <x v="3"/>
    <s v="Individuaalne"/>
    <s v="09.09.23"/>
    <n v="87"/>
    <n v="83"/>
    <n v="84"/>
    <m/>
    <m/>
    <m/>
    <n v="254"/>
  </r>
  <r>
    <x v="12"/>
    <s v="KKÜ"/>
    <x v="0"/>
    <x v="3"/>
    <s v="Võistkond"/>
    <s v="09.09.23"/>
    <n v="75"/>
    <n v="73"/>
    <n v="75"/>
    <m/>
    <m/>
    <m/>
    <n v="223"/>
  </r>
  <r>
    <x v="101"/>
    <s v="KKÜ"/>
    <x v="1"/>
    <x v="3"/>
    <s v="Võistkond"/>
    <s v="09.09.23"/>
    <n v="63"/>
    <n v="89"/>
    <n v="84"/>
    <m/>
    <m/>
    <m/>
    <n v="236"/>
  </r>
  <r>
    <x v="131"/>
    <s v="Lääne"/>
    <x v="0"/>
    <x v="3"/>
    <s v="Võistkond"/>
    <s v="09.09.23"/>
    <n v="84"/>
    <n v="90"/>
    <n v="89"/>
    <m/>
    <m/>
    <m/>
    <n v="263"/>
  </r>
  <r>
    <x v="132"/>
    <s v="Pärnumaa"/>
    <x v="3"/>
    <x v="3"/>
    <s v="Võistkond"/>
    <s v="09.09.23"/>
    <n v="79"/>
    <n v="72"/>
    <n v="79"/>
    <m/>
    <m/>
    <m/>
    <n v="230"/>
  </r>
  <r>
    <x v="133"/>
    <s v="Pärnumaa"/>
    <x v="1"/>
    <x v="3"/>
    <s v="Võistkond"/>
    <s v="09.09.23"/>
    <n v="72"/>
    <n v="73"/>
    <n v="72"/>
    <m/>
    <m/>
    <m/>
    <n v="217"/>
  </r>
  <r>
    <x v="134"/>
    <s v="Pärnumaa"/>
    <x v="0"/>
    <x v="3"/>
    <s v="Võistkond"/>
    <s v="09.09.23"/>
    <n v="83"/>
    <n v="87"/>
    <n v="81"/>
    <m/>
    <m/>
    <m/>
    <n v="251"/>
  </r>
  <r>
    <x v="135"/>
    <s v="Pärnumaa"/>
    <x v="2"/>
    <x v="3"/>
    <s v="Võistkond"/>
    <s v="09.09.23"/>
    <n v="74"/>
    <n v="55"/>
    <n v="61"/>
    <m/>
    <m/>
    <m/>
    <n v="190"/>
  </r>
  <r>
    <x v="136"/>
    <s v="Saaremaa"/>
    <x v="0"/>
    <x v="3"/>
    <s v="Võistkond"/>
    <s v="09.09.23"/>
    <n v="93"/>
    <n v="93"/>
    <n v="94"/>
    <m/>
    <m/>
    <m/>
    <n v="280"/>
  </r>
  <r>
    <x v="137"/>
    <s v="Saaremaa"/>
    <x v="1"/>
    <x v="3"/>
    <s v="Võistkond"/>
    <s v="09.09.23"/>
    <n v="90"/>
    <n v="84"/>
    <n v="89"/>
    <m/>
    <m/>
    <m/>
    <n v="263"/>
  </r>
  <r>
    <x v="138"/>
    <s v="Tallinn"/>
    <x v="3"/>
    <x v="3"/>
    <s v="Võistkond"/>
    <s v="09.09.23"/>
    <n v="85"/>
    <n v="77"/>
    <n v="90"/>
    <m/>
    <m/>
    <m/>
    <n v="252"/>
  </r>
  <r>
    <x v="139"/>
    <s v="Tallinn"/>
    <x v="2"/>
    <x v="3"/>
    <s v="Individuaalne"/>
    <s v="09.09.23"/>
    <n v="92"/>
    <n v="88"/>
    <n v="89"/>
    <m/>
    <m/>
    <m/>
    <n v="269"/>
  </r>
  <r>
    <x v="102"/>
    <s v="Tallinn"/>
    <x v="2"/>
    <x v="3"/>
    <s v="Võistkond"/>
    <s v="09.09.23"/>
    <n v="90"/>
    <n v="90"/>
    <n v="94"/>
    <m/>
    <m/>
    <m/>
    <n v="274"/>
  </r>
  <r>
    <x v="83"/>
    <s v="Tallinn"/>
    <x v="0"/>
    <x v="3"/>
    <s v="Individuaalne"/>
    <s v="09.09.23"/>
    <n v="89"/>
    <n v="89"/>
    <n v="93"/>
    <m/>
    <m/>
    <m/>
    <n v="271"/>
  </r>
  <r>
    <x v="140"/>
    <s v="Tallinn"/>
    <x v="1"/>
    <x v="3"/>
    <s v="Võistkond"/>
    <s v="09.09.23"/>
    <n v="79"/>
    <n v="86"/>
    <n v="89"/>
    <m/>
    <m/>
    <m/>
    <n v="254"/>
  </r>
  <r>
    <x v="141"/>
    <s v="Valgamaa"/>
    <x v="1"/>
    <x v="3"/>
    <s v="Võistkond"/>
    <s v="09.09.23"/>
    <n v="94"/>
    <n v="93"/>
    <n v="91"/>
    <m/>
    <m/>
    <m/>
    <n v="278"/>
  </r>
  <r>
    <x v="142"/>
    <s v="Tallinn"/>
    <x v="0"/>
    <x v="3"/>
    <s v="Võistkond"/>
    <s v="09.09.23"/>
    <n v="92"/>
    <n v="91"/>
    <n v="89"/>
    <m/>
    <m/>
    <m/>
    <n v="272"/>
  </r>
  <r>
    <x v="0"/>
    <s v="Alutaguse"/>
    <x v="0"/>
    <x v="4"/>
    <s v="Individuaalne"/>
    <s v="09.09.23"/>
    <n v="87"/>
    <n v="86"/>
    <n v="91"/>
    <m/>
    <m/>
    <m/>
    <n v="264"/>
  </r>
  <r>
    <x v="4"/>
    <s v="Alutaguse"/>
    <x v="0"/>
    <x v="4"/>
    <s v="Individuaalne"/>
    <s v="09.09.23"/>
    <n v="91"/>
    <n v="86"/>
    <n v="89"/>
    <m/>
    <m/>
    <m/>
    <n v="266"/>
  </r>
  <r>
    <x v="2"/>
    <s v="Alutaguse"/>
    <x v="0"/>
    <x v="4"/>
    <s v="Individuaalne"/>
    <s v="09.09.23"/>
    <n v="85"/>
    <n v="85"/>
    <n v="92"/>
    <m/>
    <m/>
    <m/>
    <n v="262"/>
  </r>
  <r>
    <x v="1"/>
    <s v="Alutaguse"/>
    <x v="0"/>
    <x v="4"/>
    <s v="Individuaalne"/>
    <s v="09.09.23"/>
    <n v="90"/>
    <n v="89"/>
    <n v="86"/>
    <m/>
    <m/>
    <m/>
    <n v="265"/>
  </r>
  <r>
    <x v="108"/>
    <s v="Harju"/>
    <x v="1"/>
    <x v="3"/>
    <s v="Individuaalne"/>
    <s v="10.09.23"/>
    <n v="88"/>
    <n v="90"/>
    <n v="93"/>
    <m/>
    <m/>
    <m/>
    <n v="271"/>
  </r>
  <r>
    <x v="143"/>
    <s v="Harju"/>
    <x v="1"/>
    <x v="3"/>
    <s v="Võistkond"/>
    <s v="10.09.23"/>
    <n v="72"/>
    <n v="71"/>
    <n v="49"/>
    <m/>
    <m/>
    <m/>
    <n v="192"/>
  </r>
  <r>
    <x v="144"/>
    <s v="Lääne"/>
    <x v="3"/>
    <x v="3"/>
    <s v="Võistkond"/>
    <s v="10.09.23"/>
    <n v="81"/>
    <n v="80"/>
    <n v="82"/>
    <m/>
    <m/>
    <m/>
    <n v="243"/>
  </r>
  <r>
    <x v="145"/>
    <s v="Lääne"/>
    <x v="1"/>
    <x v="3"/>
    <s v="Võistkond"/>
    <s v="10.09.23"/>
    <n v="86"/>
    <n v="86"/>
    <n v="89"/>
    <m/>
    <m/>
    <m/>
    <n v="261"/>
  </r>
  <r>
    <x v="146"/>
    <s v="Põlva"/>
    <x v="2"/>
    <x v="3"/>
    <s v="Võistkond"/>
    <s v="10.09.23"/>
    <n v="79"/>
    <n v="79"/>
    <n v="81"/>
    <m/>
    <m/>
    <m/>
    <n v="239"/>
  </r>
  <r>
    <x v="147"/>
    <s v="Põlva"/>
    <x v="1"/>
    <x v="3"/>
    <s v="Võistkond"/>
    <s v="10.09.23"/>
    <n v="74"/>
    <n v="78"/>
    <n v="65"/>
    <m/>
    <m/>
    <m/>
    <n v="217"/>
  </r>
  <r>
    <x v="148"/>
    <s v="Põlva"/>
    <x v="0"/>
    <x v="3"/>
    <s v="Võistkond"/>
    <s v="10.09.23"/>
    <n v="58"/>
    <n v="73"/>
    <n v="75"/>
    <m/>
    <m/>
    <m/>
    <n v="206"/>
  </r>
  <r>
    <x v="149"/>
    <s v="Rapla"/>
    <x v="1"/>
    <x v="3"/>
    <s v="Võistkond"/>
    <s v="10.09.23"/>
    <n v="85"/>
    <n v="85"/>
    <n v="90"/>
    <m/>
    <m/>
    <m/>
    <n v="260"/>
  </r>
  <r>
    <x v="150"/>
    <s v="Rapla"/>
    <x v="2"/>
    <x v="3"/>
    <s v="Võistkond"/>
    <s v="10.09.23"/>
    <n v="96"/>
    <n v="94"/>
    <n v="95"/>
    <m/>
    <m/>
    <m/>
    <n v="285"/>
  </r>
  <r>
    <x v="151"/>
    <s v="Rapla"/>
    <x v="3"/>
    <x v="3"/>
    <s v="Võistkond"/>
    <s v="10.09.23"/>
    <n v="71"/>
    <n v="71"/>
    <n v="71"/>
    <m/>
    <m/>
    <m/>
    <n v="213"/>
  </r>
  <r>
    <x v="121"/>
    <s v="Sakala"/>
    <x v="1"/>
    <x v="3"/>
    <s v="Võistkond"/>
    <s v="10.09.23"/>
    <n v="95"/>
    <n v="94"/>
    <n v="96"/>
    <m/>
    <m/>
    <m/>
    <n v="285"/>
  </r>
  <r>
    <x v="120"/>
    <s v="Sakala"/>
    <x v="0"/>
    <x v="3"/>
    <s v="Võistkond"/>
    <s v="10.09.23"/>
    <n v="95"/>
    <n v="96"/>
    <n v="98"/>
    <m/>
    <m/>
    <m/>
    <n v="289"/>
  </r>
  <r>
    <x v="152"/>
    <s v="Sakala"/>
    <x v="2"/>
    <x v="3"/>
    <s v="Võistkond"/>
    <s v="10.09.23"/>
    <n v="94"/>
    <n v="91"/>
    <n v="94"/>
    <m/>
    <m/>
    <m/>
    <n v="279"/>
  </r>
  <r>
    <x v="153"/>
    <s v="Sakala"/>
    <x v="3"/>
    <x v="3"/>
    <s v="Võistkond"/>
    <s v="10.09.23"/>
    <n v="75"/>
    <n v="78"/>
    <n v="86"/>
    <m/>
    <m/>
    <m/>
    <n v="239"/>
  </r>
  <r>
    <x v="154"/>
    <s v="Tartu"/>
    <x v="0"/>
    <x v="3"/>
    <s v="Võistkond"/>
    <s v="10.09.23"/>
    <n v="76"/>
    <n v="89"/>
    <n v="85"/>
    <m/>
    <m/>
    <m/>
    <n v="250"/>
  </r>
  <r>
    <x v="155"/>
    <s v="Tartu"/>
    <x v="3"/>
    <x v="3"/>
    <s v="Võistkond"/>
    <s v="10.09.23"/>
    <n v="91"/>
    <n v="90"/>
    <n v="91"/>
    <m/>
    <m/>
    <m/>
    <n v="272"/>
  </r>
  <r>
    <x v="156"/>
    <s v="Tartu"/>
    <x v="3"/>
    <x v="3"/>
    <s v="Individuaalne"/>
    <s v="10.09.23"/>
    <n v="77"/>
    <n v="78"/>
    <n v="76"/>
    <m/>
    <m/>
    <m/>
    <n v="231"/>
  </r>
  <r>
    <x v="157"/>
    <s v="Tartu"/>
    <x v="1"/>
    <x v="3"/>
    <s v="Võistkond"/>
    <s v="10.09.23"/>
    <n v="75"/>
    <n v="75"/>
    <n v="73"/>
    <m/>
    <m/>
    <m/>
    <n v="223"/>
  </r>
  <r>
    <x v="158"/>
    <s v="Tartu"/>
    <x v="2"/>
    <x v="3"/>
    <s v="Võistkond"/>
    <s v="10.09.23"/>
    <n v="88"/>
    <n v="87"/>
    <n v="85"/>
    <m/>
    <m/>
    <m/>
    <n v="260"/>
  </r>
  <r>
    <x v="116"/>
    <s v="Viru"/>
    <x v="0"/>
    <x v="3"/>
    <s v="Võistkond"/>
    <s v="10.09.23"/>
    <n v="88"/>
    <n v="86"/>
    <n v="93"/>
    <m/>
    <m/>
    <m/>
    <n v="267"/>
  </r>
  <r>
    <x v="159"/>
    <s v="Viru"/>
    <x v="2"/>
    <x v="3"/>
    <s v="Võistkond"/>
    <s v="10.09.23"/>
    <n v="91"/>
    <n v="84"/>
    <n v="86"/>
    <m/>
    <m/>
    <m/>
    <n v="261"/>
  </r>
  <r>
    <x v="160"/>
    <s v="Viru"/>
    <x v="3"/>
    <x v="3"/>
    <s v="Võistkond"/>
    <s v="10.09.23"/>
    <n v="94"/>
    <n v="91"/>
    <n v="95"/>
    <m/>
    <m/>
    <m/>
    <n v="280"/>
  </r>
  <r>
    <x v="161"/>
    <s v="Viru"/>
    <x v="0"/>
    <x v="3"/>
    <s v="Individuaalne"/>
    <s v="10.09.23"/>
    <n v="82"/>
    <n v="83"/>
    <n v="91"/>
    <m/>
    <m/>
    <m/>
    <n v="256"/>
  </r>
  <r>
    <x v="162"/>
    <s v="Võrumaa"/>
    <x v="2"/>
    <x v="3"/>
    <s v="Võistkond"/>
    <s v="10.09.23"/>
    <n v="44"/>
    <n v="32"/>
    <n v="77"/>
    <m/>
    <m/>
    <m/>
    <n v="153"/>
  </r>
  <r>
    <x v="163"/>
    <s v="Võrumaa"/>
    <x v="3"/>
    <x v="3"/>
    <s v="Võistkond"/>
    <s v="10.09.23"/>
    <n v="42"/>
    <n v="26"/>
    <n v="23"/>
    <m/>
    <m/>
    <m/>
    <n v="91"/>
  </r>
  <r>
    <x v="70"/>
    <s v="Võrumaa"/>
    <x v="0"/>
    <x v="3"/>
    <s v="Võistkond"/>
    <s v="10.09.23"/>
    <n v="56"/>
    <n v="63"/>
    <n v="55"/>
    <m/>
    <m/>
    <m/>
    <n v="174"/>
  </r>
  <r>
    <x v="117"/>
    <s v="Võrumaa"/>
    <x v="1"/>
    <x v="3"/>
    <s v="Võistkond"/>
    <s v="10.09.23"/>
    <n v="81"/>
    <n v="82"/>
    <n v="69"/>
    <m/>
    <m/>
    <m/>
    <n v="232"/>
  </r>
  <r>
    <x v="164"/>
    <s v="Tallinn"/>
    <x v="0"/>
    <x v="4"/>
    <s v="Individuaalne"/>
    <s v="09.09.23"/>
    <n v="78"/>
    <n v="79"/>
    <n v="84"/>
    <m/>
    <m/>
    <m/>
    <n v="241"/>
  </r>
  <r>
    <x v="165"/>
    <s v="Lääne"/>
    <x v="0"/>
    <x v="3"/>
    <s v="Individuaalne"/>
    <s v="10.09.23"/>
    <n v="87"/>
    <n v="80"/>
    <n v="84"/>
    <m/>
    <m/>
    <m/>
    <n v="251"/>
  </r>
  <r>
    <x v="66"/>
    <s v="Viru"/>
    <x v="0"/>
    <x v="4"/>
    <s v="Individuaalne"/>
    <s v="10.09.23"/>
    <n v="90"/>
    <n v="88"/>
    <n v="91"/>
    <m/>
    <m/>
    <m/>
    <n v="269"/>
  </r>
  <r>
    <x v="166"/>
    <s v="Rapla"/>
    <x v="0"/>
    <x v="4"/>
    <s v="Individuaalne"/>
    <s v="10.09.23"/>
    <n v="75"/>
    <n v="75"/>
    <n v="74"/>
    <m/>
    <m/>
    <m/>
    <n v="224"/>
  </r>
  <r>
    <x v="167"/>
    <s v="Alutaguse"/>
    <x v="0"/>
    <x v="4"/>
    <s v="Võistkond"/>
    <s v="09.09.23"/>
    <n v="90"/>
    <n v="85"/>
    <n v="89"/>
    <m/>
    <m/>
    <m/>
    <n v="264"/>
  </r>
  <r>
    <x v="124"/>
    <s v="Alutaguse"/>
    <x v="1"/>
    <x v="4"/>
    <s v="Võistkond"/>
    <s v="09.09.23"/>
    <n v="87"/>
    <n v="92"/>
    <n v="93"/>
    <m/>
    <m/>
    <m/>
    <n v="272"/>
  </r>
  <r>
    <x v="168"/>
    <s v="Järva"/>
    <x v="1"/>
    <x v="4"/>
    <s v="Võistkond"/>
    <s v="09.09.23"/>
    <n v="86"/>
    <n v="82"/>
    <n v="87"/>
    <m/>
    <m/>
    <m/>
    <n v="255"/>
  </r>
  <r>
    <x v="169"/>
    <s v="Järva"/>
    <x v="0"/>
    <x v="4"/>
    <s v="Võistkond"/>
    <s v="09.09.23"/>
    <n v="89"/>
    <n v="91"/>
    <n v="85"/>
    <m/>
    <m/>
    <m/>
    <n v="265"/>
  </r>
  <r>
    <x v="100"/>
    <s v="Järva"/>
    <x v="1"/>
    <x v="4"/>
    <s v="Individuaalne"/>
    <s v="09.09.23"/>
    <n v="95"/>
    <n v="95"/>
    <n v="95"/>
    <m/>
    <m/>
    <m/>
    <n v="285"/>
  </r>
  <r>
    <x v="170"/>
    <s v="KKÜ"/>
    <x v="0"/>
    <x v="4"/>
    <s v="Võistkond"/>
    <s v="09.09.23"/>
    <n v="89"/>
    <n v="87"/>
    <n v="85"/>
    <m/>
    <m/>
    <m/>
    <n v="261"/>
  </r>
  <r>
    <x v="171"/>
    <s v="KKÜ"/>
    <x v="1"/>
    <x v="4"/>
    <s v="Võistkond"/>
    <s v="09.09.23"/>
    <n v="68"/>
    <n v="76"/>
    <n v="79"/>
    <m/>
    <m/>
    <m/>
    <n v="223"/>
  </r>
  <r>
    <x v="172"/>
    <s v="KL peastaap"/>
    <x v="0"/>
    <x v="4"/>
    <s v="Võistkond"/>
    <s v="09.09.23"/>
    <n v="88"/>
    <n v="84"/>
    <n v="87"/>
    <m/>
    <m/>
    <m/>
    <n v="259"/>
  </r>
  <r>
    <x v="134"/>
    <s v="Pärnumaa"/>
    <x v="0"/>
    <x v="4"/>
    <s v="Võistkond"/>
    <s v="09.09.23"/>
    <n v="81"/>
    <n v="91"/>
    <n v="79"/>
    <m/>
    <m/>
    <m/>
    <n v="251"/>
  </r>
  <r>
    <x v="133"/>
    <s v="Pärnumaa"/>
    <x v="1"/>
    <x v="4"/>
    <s v="Võistkond"/>
    <s v="09.09.23"/>
    <n v="79"/>
    <n v="84"/>
    <n v="87"/>
    <m/>
    <m/>
    <m/>
    <n v="250"/>
  </r>
  <r>
    <x v="137"/>
    <s v="Saaremaa"/>
    <x v="1"/>
    <x v="4"/>
    <s v="Võistkond"/>
    <s v="09.09.23"/>
    <n v="85"/>
    <n v="85"/>
    <n v="77"/>
    <m/>
    <m/>
    <m/>
    <n v="247"/>
  </r>
  <r>
    <x v="136"/>
    <s v="Saaremaa"/>
    <x v="0"/>
    <x v="4"/>
    <s v="Võistkond"/>
    <s v="09.09.23"/>
    <n v="91"/>
    <n v="87"/>
    <n v="87"/>
    <m/>
    <m/>
    <m/>
    <n v="265"/>
  </r>
  <r>
    <x v="173"/>
    <s v="Saaremaa"/>
    <x v="0"/>
    <x v="4"/>
    <s v="Individuaalne"/>
    <s v="09.09.23"/>
    <n v="79"/>
    <n v="74"/>
    <n v="79"/>
    <m/>
    <m/>
    <m/>
    <n v="232"/>
  </r>
  <r>
    <x v="174"/>
    <s v="Tallinn"/>
    <x v="0"/>
    <x v="4"/>
    <s v="Individuaalne"/>
    <s v="09.09.23"/>
    <n v="91"/>
    <n v="93"/>
    <n v="90"/>
    <m/>
    <m/>
    <m/>
    <n v="274"/>
  </r>
  <r>
    <x v="33"/>
    <s v="Tallinn"/>
    <x v="1"/>
    <x v="4"/>
    <s v="Võistkond"/>
    <s v="09.09.23"/>
    <n v="93"/>
    <n v="84"/>
    <n v="89"/>
    <m/>
    <m/>
    <m/>
    <n v="266"/>
  </r>
  <r>
    <x v="141"/>
    <s v="Valgamaa"/>
    <x v="1"/>
    <x v="4"/>
    <s v="Võistkond"/>
    <s v="09.09.23"/>
    <n v="81"/>
    <n v="83"/>
    <n v="79"/>
    <m/>
    <m/>
    <m/>
    <n v="243"/>
  </r>
  <r>
    <x v="105"/>
    <s v="Valgamaa"/>
    <x v="0"/>
    <x v="4"/>
    <s v="Võistkond"/>
    <s v="09.09.23"/>
    <n v="83"/>
    <n v="79"/>
    <n v="87"/>
    <m/>
    <m/>
    <m/>
    <n v="249"/>
  </r>
  <r>
    <x v="175"/>
    <s v="Harju"/>
    <x v="0"/>
    <x v="4"/>
    <s v="Võistkond"/>
    <s v="10.09.23"/>
    <n v="79"/>
    <n v="76"/>
    <n v="83"/>
    <m/>
    <m/>
    <m/>
    <n v="238"/>
  </r>
  <r>
    <x v="108"/>
    <s v="Harju"/>
    <x v="1"/>
    <x v="4"/>
    <s v="Võistkond"/>
    <s v="10.09.23"/>
    <n v="73"/>
    <n v="78"/>
    <n v="82"/>
    <m/>
    <m/>
    <m/>
    <n v="233"/>
  </r>
  <r>
    <x v="145"/>
    <s v="Lääne"/>
    <x v="1"/>
    <x v="4"/>
    <s v="Võistkond"/>
    <s v="10.09.23"/>
    <n v="84"/>
    <n v="90"/>
    <n v="85"/>
    <m/>
    <m/>
    <m/>
    <n v="259"/>
  </r>
  <r>
    <x v="176"/>
    <s v="Lääne"/>
    <x v="0"/>
    <x v="4"/>
    <s v="Võistkond"/>
    <s v="10.09.23"/>
    <n v="75"/>
    <n v="86"/>
    <n v="87"/>
    <m/>
    <m/>
    <m/>
    <n v="248"/>
  </r>
  <r>
    <x v="48"/>
    <s v="Põlva"/>
    <x v="1"/>
    <x v="4"/>
    <s v="Võistkond"/>
    <s v="10.09.23"/>
    <n v="78"/>
    <n v="80"/>
    <n v="79"/>
    <m/>
    <m/>
    <m/>
    <n v="237"/>
  </r>
  <r>
    <x v="87"/>
    <s v="Põlva"/>
    <x v="0"/>
    <x v="4"/>
    <s v="Individuaalne"/>
    <s v="10.09.23"/>
    <n v="82"/>
    <n v="88"/>
    <n v="89"/>
    <m/>
    <m/>
    <m/>
    <n v="259"/>
  </r>
  <r>
    <x v="177"/>
    <s v="Põlva"/>
    <x v="0"/>
    <x v="4"/>
    <s v="Võistkond"/>
    <s v="10.09.23"/>
    <n v="53"/>
    <n v="45"/>
    <n v="48"/>
    <m/>
    <m/>
    <m/>
    <n v="146"/>
  </r>
  <r>
    <x v="178"/>
    <s v="Rapla"/>
    <x v="1"/>
    <x v="4"/>
    <s v="Võistkond"/>
    <s v="10.09.23"/>
    <n v="81"/>
    <n v="75"/>
    <n v="82"/>
    <m/>
    <m/>
    <m/>
    <n v="238"/>
  </r>
  <r>
    <x v="54"/>
    <s v="Rapla"/>
    <x v="0"/>
    <x v="4"/>
    <s v="Võistkond"/>
    <s v="10.09.23"/>
    <n v="86"/>
    <n v="79"/>
    <n v="89"/>
    <m/>
    <m/>
    <m/>
    <n v="254"/>
  </r>
  <r>
    <x v="179"/>
    <s v="Sakala"/>
    <x v="1"/>
    <x v="4"/>
    <s v="Võistkond"/>
    <s v="10.09.23"/>
    <n v="89"/>
    <n v="71"/>
    <n v="80"/>
    <m/>
    <m/>
    <m/>
    <n v="240"/>
  </r>
  <r>
    <x v="180"/>
    <s v="Sakala"/>
    <x v="0"/>
    <x v="4"/>
    <s v="Võistkond"/>
    <s v="10.09.23"/>
    <n v="86"/>
    <n v="88"/>
    <n v="87"/>
    <m/>
    <m/>
    <m/>
    <n v="261"/>
  </r>
  <r>
    <x v="64"/>
    <s v="Tartu"/>
    <x v="0"/>
    <x v="4"/>
    <s v="Individuaalne"/>
    <s v="10.09.23"/>
    <n v="74"/>
    <n v="85"/>
    <n v="86"/>
    <m/>
    <m/>
    <m/>
    <n v="245"/>
  </r>
  <r>
    <x v="181"/>
    <s v="Tartu"/>
    <x v="1"/>
    <x v="4"/>
    <s v="Võistkond"/>
    <s v="10.09.23"/>
    <n v="70"/>
    <n v="76"/>
    <n v="77"/>
    <m/>
    <m/>
    <m/>
    <n v="223"/>
  </r>
  <r>
    <x v="90"/>
    <s v="Tartu"/>
    <x v="0"/>
    <x v="4"/>
    <s v="Võistkond"/>
    <s v="10.09.23"/>
    <n v="89"/>
    <n v="91"/>
    <n v="88"/>
    <m/>
    <m/>
    <m/>
    <n v="268"/>
  </r>
  <r>
    <x v="182"/>
    <s v="Viru"/>
    <x v="0"/>
    <x v="4"/>
    <s v="Võistkond"/>
    <s v="10.09.23"/>
    <n v="88"/>
    <n v="87"/>
    <n v="76"/>
    <m/>
    <m/>
    <m/>
    <n v="251"/>
  </r>
  <r>
    <x v="183"/>
    <s v="Viru"/>
    <x v="1"/>
    <x v="4"/>
    <s v="Võistkond"/>
    <s v="10.09.23"/>
    <n v="67"/>
    <n v="54"/>
    <n v="72"/>
    <m/>
    <m/>
    <m/>
    <n v="193"/>
  </r>
  <r>
    <x v="94"/>
    <s v="Võrumaa"/>
    <x v="0"/>
    <x v="4"/>
    <s v="Võistkond"/>
    <s v="10.09.23"/>
    <n v="82"/>
    <n v="91"/>
    <n v="83"/>
    <m/>
    <m/>
    <m/>
    <n v="256"/>
  </r>
  <r>
    <x v="184"/>
    <s v="Võrumaa"/>
    <x v="1"/>
    <x v="4"/>
    <s v="Võistkond"/>
    <s v="10.09.23"/>
    <n v="74"/>
    <n v="74"/>
    <n v="76"/>
    <m/>
    <m/>
    <m/>
    <n v="224"/>
  </r>
  <r>
    <x v="119"/>
    <s v="Tallinn"/>
    <x v="0"/>
    <x v="4"/>
    <s v="Võistkond"/>
    <s v="09.09.23"/>
    <n v="90"/>
    <n v="87"/>
    <n v="93"/>
    <m/>
    <m/>
    <m/>
    <n v="270"/>
  </r>
  <r>
    <x v="4"/>
    <s v="Alutaguse"/>
    <x v="0"/>
    <x v="5"/>
    <s v="Võistkond"/>
    <s v="09.09.23"/>
    <n v="83"/>
    <n v="79"/>
    <n v="86"/>
    <m/>
    <m/>
    <m/>
    <n v="248"/>
  </r>
  <r>
    <x v="5"/>
    <s v="Alutaguse"/>
    <x v="1"/>
    <x v="5"/>
    <s v="Võistkond"/>
    <s v="09.09.23"/>
    <n v="88"/>
    <n v="86"/>
    <n v="88"/>
    <m/>
    <m/>
    <m/>
    <n v="262"/>
  </r>
  <r>
    <x v="0"/>
    <s v="Alutaguse"/>
    <x v="0"/>
    <x v="5"/>
    <s v="Individuaalne"/>
    <s v="09.09.23"/>
    <n v="75"/>
    <n v="67"/>
    <n v="85"/>
    <m/>
    <m/>
    <m/>
    <n v="227"/>
  </r>
  <r>
    <x v="167"/>
    <s v="Alutaguse"/>
    <x v="0"/>
    <x v="5"/>
    <s v="Individuaalne"/>
    <s v="09.09.23"/>
    <n v="78"/>
    <n v="74"/>
    <n v="71"/>
    <m/>
    <m/>
    <m/>
    <n v="223"/>
  </r>
  <r>
    <x v="77"/>
    <s v="Alutaguse"/>
    <x v="0"/>
    <x v="5"/>
    <s v="Võistkond"/>
    <s v="09.09.23"/>
    <n v="81"/>
    <n v="81"/>
    <n v="81"/>
    <m/>
    <m/>
    <m/>
    <n v="243"/>
  </r>
  <r>
    <x v="10"/>
    <s v="Järva"/>
    <x v="0"/>
    <x v="5"/>
    <s v="Võistkond"/>
    <s v="09.09.23"/>
    <n v="80"/>
    <n v="73"/>
    <n v="82"/>
    <m/>
    <m/>
    <m/>
    <n v="235"/>
  </r>
  <r>
    <x v="6"/>
    <s v="Järva"/>
    <x v="0"/>
    <x v="5"/>
    <s v="Võistkond"/>
    <s v="09.09.23"/>
    <n v="80"/>
    <n v="76"/>
    <n v="79"/>
    <m/>
    <m/>
    <m/>
    <n v="235"/>
  </r>
  <r>
    <x v="7"/>
    <s v="Järva"/>
    <x v="1"/>
    <x v="5"/>
    <s v="Võistkond"/>
    <s v="09.09.23"/>
    <n v="39"/>
    <n v="49"/>
    <n v="45"/>
    <m/>
    <m/>
    <m/>
    <n v="133"/>
  </r>
  <r>
    <x v="185"/>
    <s v="Järva"/>
    <x v="0"/>
    <x v="5"/>
    <s v="Individuaalne"/>
    <s v="09.09.23"/>
    <n v="76"/>
    <n v="50"/>
    <n v="11"/>
    <m/>
    <m/>
    <m/>
    <n v="137"/>
  </r>
  <r>
    <x v="78"/>
    <s v="Järva"/>
    <x v="0"/>
    <x v="5"/>
    <s v="Individuaalne"/>
    <s v="09.09.23"/>
    <n v="69"/>
    <n v="59"/>
    <n v="66"/>
    <m/>
    <m/>
    <m/>
    <n v="194"/>
  </r>
  <r>
    <x v="13"/>
    <s v="KKÜ"/>
    <x v="0"/>
    <x v="5"/>
    <s v="Võistkond"/>
    <s v="09.09.23"/>
    <n v="65"/>
    <n v="75"/>
    <n v="71"/>
    <m/>
    <m/>
    <m/>
    <n v="211"/>
  </r>
  <r>
    <x v="186"/>
    <s v="KKÜ"/>
    <x v="0"/>
    <x v="5"/>
    <s v="Võistkond"/>
    <s v="09.09.23"/>
    <n v="66"/>
    <n v="68"/>
    <n v="59"/>
    <m/>
    <m/>
    <m/>
    <n v="193"/>
  </r>
  <r>
    <x v="14"/>
    <s v="KKÜ"/>
    <x v="1"/>
    <x v="5"/>
    <s v="Võistkond"/>
    <s v="09.09.23"/>
    <n v="65"/>
    <n v="64"/>
    <n v="57"/>
    <m/>
    <m/>
    <m/>
    <n v="186"/>
  </r>
  <r>
    <x v="19"/>
    <s v="KL peastaap"/>
    <x v="0"/>
    <x v="5"/>
    <s v="Individuaalne"/>
    <s v="09.09.23"/>
    <n v="73"/>
    <n v="73"/>
    <n v="76"/>
    <m/>
    <m/>
    <m/>
    <n v="222"/>
  </r>
  <r>
    <x v="187"/>
    <s v="KL peastaap"/>
    <x v="0"/>
    <x v="5"/>
    <s v="Võistkond"/>
    <s v="09.09.23"/>
    <n v="82"/>
    <n v="90"/>
    <n v="80"/>
    <m/>
    <m/>
    <m/>
    <n v="252"/>
  </r>
  <r>
    <x v="16"/>
    <s v="KL peastaap"/>
    <x v="1"/>
    <x v="5"/>
    <s v="Võistkond"/>
    <s v="09.09.23"/>
    <n v="84"/>
    <n v="81"/>
    <n v="81"/>
    <m/>
    <m/>
    <m/>
    <n v="246"/>
  </r>
  <r>
    <x v="80"/>
    <s v="KL peastaap"/>
    <x v="0"/>
    <x v="5"/>
    <s v="Individuaalne"/>
    <s v="09.09.23"/>
    <n v="72"/>
    <n v="67"/>
    <n v="82"/>
    <m/>
    <m/>
    <m/>
    <n v="221"/>
  </r>
  <r>
    <x v="81"/>
    <s v="Pärnumaa"/>
    <x v="0"/>
    <x v="5"/>
    <s v="Võistkond"/>
    <s v="09.09.23"/>
    <n v="74"/>
    <n v="81"/>
    <n v="80"/>
    <m/>
    <m/>
    <m/>
    <n v="235"/>
  </r>
  <r>
    <x v="188"/>
    <s v="Pärnumaa"/>
    <x v="0"/>
    <x v="5"/>
    <s v="Võistkond"/>
    <s v="09.09.23"/>
    <n v="74"/>
    <n v="83"/>
    <n v="79"/>
    <m/>
    <m/>
    <m/>
    <n v="236"/>
  </r>
  <r>
    <x v="22"/>
    <s v="Pärnumaa"/>
    <x v="1"/>
    <x v="5"/>
    <s v="Võistkond"/>
    <s v="09.09.23"/>
    <n v="46"/>
    <n v="55"/>
    <n v="61"/>
    <m/>
    <m/>
    <m/>
    <n v="162"/>
  </r>
  <r>
    <x v="26"/>
    <s v="Saaremaa"/>
    <x v="0"/>
    <x v="5"/>
    <s v="Võistkond"/>
    <s v="09.09.23"/>
    <n v="51"/>
    <n v="53"/>
    <n v="49"/>
    <m/>
    <m/>
    <m/>
    <n v="153"/>
  </r>
  <r>
    <x v="189"/>
    <s v="Saaremaa"/>
    <x v="0"/>
    <x v="5"/>
    <s v="Võistkond"/>
    <s v="09.09.23"/>
    <n v="81"/>
    <n v="74"/>
    <n v="56"/>
    <m/>
    <m/>
    <m/>
    <n v="211"/>
  </r>
  <r>
    <x v="190"/>
    <s v="Tallinn"/>
    <x v="0"/>
    <x v="5"/>
    <s v="Individuaalne"/>
    <s v="09.09.23"/>
    <n v="78"/>
    <n v="78"/>
    <n v="78"/>
    <m/>
    <m/>
    <m/>
    <n v="234"/>
  </r>
  <r>
    <x v="191"/>
    <s v="Tallinn"/>
    <x v="0"/>
    <x v="5"/>
    <s v="Võistkond"/>
    <s v="09.09.23"/>
    <n v="74"/>
    <n v="82"/>
    <n v="82"/>
    <m/>
    <m/>
    <m/>
    <n v="238"/>
  </r>
  <r>
    <x v="34"/>
    <s v="Tallinn"/>
    <x v="1"/>
    <x v="5"/>
    <s v="Võistkond"/>
    <s v="09.09.23"/>
    <n v="69"/>
    <n v="62"/>
    <n v="68"/>
    <m/>
    <m/>
    <m/>
    <n v="199"/>
  </r>
  <r>
    <x v="35"/>
    <s v="Valgamaa"/>
    <x v="1"/>
    <x v="5"/>
    <s v="Võistkond"/>
    <s v="09.09.23"/>
    <n v="30"/>
    <n v="63"/>
    <n v="59"/>
    <m/>
    <m/>
    <m/>
    <n v="152"/>
  </r>
  <r>
    <x v="84"/>
    <s v="Valgamaa"/>
    <x v="1"/>
    <x v="5"/>
    <s v="Võistkond"/>
    <s v="09.09.23"/>
    <n v="88"/>
    <n v="89"/>
    <n v="80"/>
    <m/>
    <m/>
    <m/>
    <n v="257"/>
  </r>
  <r>
    <x v="192"/>
    <s v="Valgamaa"/>
    <x v="0"/>
    <x v="5"/>
    <s v="Võistkond"/>
    <s v="09.09.23"/>
    <n v="76"/>
    <n v="62"/>
    <n v="80"/>
    <m/>
    <m/>
    <m/>
    <n v="218"/>
  </r>
  <r>
    <x v="193"/>
    <s v="Valgamaa"/>
    <x v="0"/>
    <x v="5"/>
    <s v="Individuaalne"/>
    <s v="09.09.23"/>
    <n v="67"/>
    <n v="42"/>
    <n v="31"/>
    <m/>
    <m/>
    <m/>
    <n v="140"/>
  </r>
  <r>
    <x v="36"/>
    <s v="Viru"/>
    <x v="1"/>
    <x v="5"/>
    <s v="Võistkond"/>
    <s v="09.09.23"/>
    <n v="79"/>
    <n v="66"/>
    <n v="58"/>
    <m/>
    <m/>
    <m/>
    <n v="203"/>
  </r>
  <r>
    <x v="174"/>
    <s v="Tallinn"/>
    <x v="0"/>
    <x v="5"/>
    <s v="Võistkond"/>
    <s v="09.09.23"/>
    <n v="81"/>
    <n v="80"/>
    <n v="86"/>
    <m/>
    <m/>
    <m/>
    <n v="247"/>
  </r>
  <r>
    <x v="194"/>
    <s v="Harju"/>
    <x v="0"/>
    <x v="5"/>
    <s v="Võistkond"/>
    <s v="10.09.23"/>
    <n v="75"/>
    <n v="63"/>
    <n v="74"/>
    <m/>
    <m/>
    <m/>
    <n v="212"/>
  </r>
  <r>
    <x v="38"/>
    <s v="Harju"/>
    <x v="0"/>
    <x v="5"/>
    <s v="Võistkond"/>
    <s v="10.09.23"/>
    <n v="75"/>
    <n v="76"/>
    <n v="77"/>
    <m/>
    <m/>
    <m/>
    <n v="228"/>
  </r>
  <r>
    <x v="39"/>
    <s v="Harju"/>
    <x v="1"/>
    <x v="5"/>
    <s v="Võistkond"/>
    <s v="10.09.23"/>
    <n v="55"/>
    <n v="62"/>
    <n v="56"/>
    <m/>
    <m/>
    <m/>
    <n v="173"/>
  </r>
  <r>
    <x v="195"/>
    <s v="KL peastaap"/>
    <x v="0"/>
    <x v="5"/>
    <s v="Võistkond"/>
    <s v="10.09.23"/>
    <n v="83"/>
    <n v="79"/>
    <n v="82"/>
    <m/>
    <m/>
    <m/>
    <n v="244"/>
  </r>
  <r>
    <x v="44"/>
    <s v="Lääne"/>
    <x v="0"/>
    <x v="5"/>
    <s v="Võistkond"/>
    <s v="10.09.23"/>
    <n v="63"/>
    <n v="60"/>
    <n v="57"/>
    <m/>
    <m/>
    <m/>
    <n v="180"/>
  </r>
  <r>
    <x v="45"/>
    <s v="Lääne"/>
    <x v="0"/>
    <x v="5"/>
    <s v="Võistkond"/>
    <s v="10.09.23"/>
    <n v="87"/>
    <n v="90"/>
    <n v="85"/>
    <m/>
    <m/>
    <m/>
    <n v="262"/>
  </r>
  <r>
    <x v="76"/>
    <s v="Lääne"/>
    <x v="1"/>
    <x v="5"/>
    <s v="Võistkond"/>
    <s v="10.09.23"/>
    <n v="79"/>
    <n v="84"/>
    <n v="74"/>
    <m/>
    <m/>
    <m/>
    <n v="237"/>
  </r>
  <r>
    <x v="46"/>
    <s v="Lääne"/>
    <x v="0"/>
    <x v="5"/>
    <s v="Individuaalne"/>
    <s v="10.09.23"/>
    <n v="66"/>
    <n v="63"/>
    <n v="66"/>
    <m/>
    <m/>
    <m/>
    <n v="195"/>
  </r>
  <r>
    <x v="87"/>
    <s v="Põlva"/>
    <x v="0"/>
    <x v="5"/>
    <s v="Võistkond"/>
    <s v="10.09.23"/>
    <n v="62"/>
    <n v="69"/>
    <n v="80"/>
    <m/>
    <m/>
    <m/>
    <n v="211"/>
  </r>
  <r>
    <x v="196"/>
    <s v="Põlva"/>
    <x v="1"/>
    <x v="5"/>
    <s v="Võistkond"/>
    <s v="10.09.23"/>
    <n v="54"/>
    <n v="52"/>
    <n v="59"/>
    <m/>
    <m/>
    <m/>
    <n v="165"/>
  </r>
  <r>
    <x v="53"/>
    <s v="Rapla"/>
    <x v="0"/>
    <x v="5"/>
    <s v="Võistkond"/>
    <s v="10.09.23"/>
    <n v="68"/>
    <n v="74"/>
    <n v="48"/>
    <m/>
    <m/>
    <m/>
    <n v="190"/>
  </r>
  <r>
    <x v="166"/>
    <s v="Rapla"/>
    <x v="0"/>
    <x v="5"/>
    <s v="Võistkond"/>
    <s v="10.09.23"/>
    <n v="77"/>
    <n v="67"/>
    <n v="74"/>
    <m/>
    <m/>
    <m/>
    <n v="218"/>
  </r>
  <r>
    <x v="178"/>
    <s v="Rapla"/>
    <x v="1"/>
    <x v="5"/>
    <s v="Võistkond"/>
    <s v="10.09.23"/>
    <n v="43"/>
    <n v="52"/>
    <n v="50"/>
    <m/>
    <m/>
    <m/>
    <n v="145"/>
  </r>
  <r>
    <x v="55"/>
    <s v="Sakala"/>
    <x v="0"/>
    <x v="5"/>
    <s v="Individuaalne"/>
    <s v="10.09.23"/>
    <n v="63"/>
    <n v="73"/>
    <n v="60"/>
    <m/>
    <m/>
    <m/>
    <n v="196"/>
  </r>
  <r>
    <x v="56"/>
    <s v="Sakala"/>
    <x v="0"/>
    <x v="5"/>
    <s v="Võistkond"/>
    <s v="10.09.23"/>
    <n v="54"/>
    <n v="60"/>
    <n v="78"/>
    <m/>
    <m/>
    <m/>
    <n v="192"/>
  </r>
  <r>
    <x v="88"/>
    <s v="Sakala"/>
    <x v="1"/>
    <x v="5"/>
    <s v="Võistkond"/>
    <s v="10.09.23"/>
    <n v="55"/>
    <n v="74"/>
    <n v="64"/>
    <m/>
    <m/>
    <m/>
    <n v="193"/>
  </r>
  <r>
    <x v="197"/>
    <s v="Sakala"/>
    <x v="0"/>
    <x v="5"/>
    <s v="Võistkond"/>
    <s v="10.09.23"/>
    <n v="73"/>
    <n v="72"/>
    <n v="83"/>
    <m/>
    <m/>
    <m/>
    <n v="228"/>
  </r>
  <r>
    <x v="63"/>
    <s v="Tartu"/>
    <x v="0"/>
    <x v="5"/>
    <s v="Individuaalne"/>
    <s v="10.09.23"/>
    <n v="56"/>
    <n v="53"/>
    <n v="60"/>
    <m/>
    <m/>
    <m/>
    <n v="169"/>
  </r>
  <r>
    <x v="91"/>
    <s v="Tartu"/>
    <x v="0"/>
    <x v="5"/>
    <s v="Võistkond"/>
    <s v="10.09.23"/>
    <n v="76"/>
    <n v="81"/>
    <n v="84"/>
    <m/>
    <m/>
    <m/>
    <n v="241"/>
  </r>
  <r>
    <x v="60"/>
    <s v="Tartu"/>
    <x v="1"/>
    <x v="5"/>
    <s v="Võistkond"/>
    <s v="10.09.23"/>
    <n v="69"/>
    <n v="64"/>
    <n v="68"/>
    <m/>
    <m/>
    <m/>
    <n v="201"/>
  </r>
  <r>
    <x v="62"/>
    <s v="Tartu"/>
    <x v="0"/>
    <x v="5"/>
    <s v="Võistkond"/>
    <s v="10.09.23"/>
    <n v="72"/>
    <n v="72"/>
    <n v="65"/>
    <m/>
    <m/>
    <m/>
    <n v="209"/>
  </r>
  <r>
    <x v="65"/>
    <s v="Viru"/>
    <x v="0"/>
    <x v="5"/>
    <s v="Võistkond"/>
    <s v="10.09.23"/>
    <n v="81"/>
    <n v="78"/>
    <n v="83"/>
    <m/>
    <m/>
    <m/>
    <n v="242"/>
  </r>
  <r>
    <x v="198"/>
    <s v="Viru"/>
    <x v="0"/>
    <x v="5"/>
    <s v="Võistkond"/>
    <s v="10.09.23"/>
    <n v="78"/>
    <n v="68"/>
    <n v="74"/>
    <m/>
    <m/>
    <m/>
    <n v="220"/>
  </r>
  <r>
    <x v="118"/>
    <s v="Võrumaa"/>
    <x v="0"/>
    <x v="5"/>
    <s v="Võistkond"/>
    <s v="10.09.23"/>
    <n v="74"/>
    <n v="72"/>
    <n v="71"/>
    <m/>
    <m/>
    <m/>
    <n v="217"/>
  </r>
  <r>
    <x v="72"/>
    <s v="Võrumaa"/>
    <x v="0"/>
    <x v="5"/>
    <s v="Võistkond"/>
    <s v="10.09.23"/>
    <n v="65"/>
    <n v="68"/>
    <n v="70"/>
    <m/>
    <m/>
    <m/>
    <n v="203"/>
  </r>
  <r>
    <x v="73"/>
    <s v="Võrumaa"/>
    <x v="1"/>
    <x v="5"/>
    <s v="Võistkond"/>
    <s v="10.09.23"/>
    <n v="14"/>
    <n v="38"/>
    <n v="19"/>
    <m/>
    <m/>
    <m/>
    <n v="71"/>
  </r>
  <r>
    <x v="71"/>
    <s v="Võrumaa"/>
    <x v="1"/>
    <x v="5"/>
    <s v="Individuaalne"/>
    <s v="10.09.23"/>
    <n v="31"/>
    <n v="47"/>
    <n v="11"/>
    <m/>
    <m/>
    <m/>
    <n v="89"/>
  </r>
  <r>
    <x v="2"/>
    <s v="Alutaguse"/>
    <x v="0"/>
    <x v="5"/>
    <s v="Individuaalne"/>
    <s v="09.09.23"/>
    <n v="77"/>
    <n v="75"/>
    <n v="82"/>
    <m/>
    <m/>
    <m/>
    <n v="234"/>
  </r>
  <r>
    <x v="199"/>
    <s v="Tallinn"/>
    <x v="0"/>
    <x v="5"/>
    <s v="Individuaalne"/>
    <s v="09.09.23"/>
    <n v="65"/>
    <n v="62"/>
    <n v="56"/>
    <m/>
    <m/>
    <m/>
    <n v="183"/>
  </r>
  <r>
    <x v="28"/>
    <s v="Tallinn"/>
    <x v="0"/>
    <x v="5"/>
    <s v="Individuaalne"/>
    <s v="09.09.23"/>
    <n v="78"/>
    <n v="74"/>
    <n v="83"/>
    <m/>
    <m/>
    <m/>
    <n v="235"/>
  </r>
  <r>
    <x v="49"/>
    <s v="Põlva"/>
    <x v="0"/>
    <x v="5"/>
    <s v="Võistkond"/>
    <s v="10.09.23"/>
    <n v="65"/>
    <n v="61"/>
    <n v="71"/>
    <m/>
    <m/>
    <m/>
    <n v="197"/>
  </r>
  <r>
    <x v="75"/>
    <s v="Harju"/>
    <x v="0"/>
    <x v="5"/>
    <s v="Individuaalne"/>
    <s v="10.09.23"/>
    <n v="58"/>
    <n v="46"/>
    <n v="57"/>
    <m/>
    <m/>
    <m/>
    <n v="161"/>
  </r>
  <r>
    <x v="200"/>
    <s v="Rapla"/>
    <x v="0"/>
    <x v="5"/>
    <s v="Individuaalne"/>
    <s v="10.09.23"/>
    <n v="74"/>
    <n v="83"/>
    <n v="85"/>
    <m/>
    <m/>
    <m/>
    <n v="242"/>
  </r>
  <r>
    <x v="201"/>
    <s v="Tallinn"/>
    <x v="1"/>
    <x v="5"/>
    <s v="Individuaalne"/>
    <s v="10.09.23"/>
    <n v="68"/>
    <n v="70"/>
    <n v="66"/>
    <m/>
    <m/>
    <m/>
    <n v="204"/>
  </r>
  <r>
    <x v="202"/>
    <s v="Tallinn"/>
    <x v="0"/>
    <x v="5"/>
    <s v="Individuaalne"/>
    <s v="10.09.23"/>
    <n v="63"/>
    <n v="72"/>
    <n v="71"/>
    <m/>
    <m/>
    <m/>
    <n v="206"/>
  </r>
  <r>
    <x v="31"/>
    <s v="Tallinn"/>
    <x v="0"/>
    <x v="5"/>
    <s v="Individuaalne"/>
    <s v="09.09.23"/>
    <n v="89"/>
    <n v="74"/>
    <n v="80"/>
    <m/>
    <m/>
    <m/>
    <n v="243"/>
  </r>
  <r>
    <x v="77"/>
    <s v="Alutaguse"/>
    <x v="0"/>
    <x v="6"/>
    <s v="Võistkond"/>
    <s v="09.09.23"/>
    <n v="87"/>
    <n v="81"/>
    <n v="82"/>
    <m/>
    <m/>
    <m/>
    <n v="250"/>
  </r>
  <r>
    <x v="203"/>
    <s v="Järva"/>
    <x v="0"/>
    <x v="6"/>
    <s v="Võistkond"/>
    <s v="09.09.23"/>
    <n v="90"/>
    <n v="85"/>
    <n v="92"/>
    <m/>
    <m/>
    <m/>
    <n v="267"/>
  </r>
  <r>
    <x v="79"/>
    <s v="KKÜ"/>
    <x v="0"/>
    <x v="6"/>
    <s v="Võistkond"/>
    <s v="09.09.23"/>
    <n v="98"/>
    <n v="96"/>
    <n v="94"/>
    <m/>
    <m/>
    <m/>
    <n v="288"/>
  </r>
  <r>
    <x v="172"/>
    <s v="KL peastaap"/>
    <x v="0"/>
    <x v="6"/>
    <s v="Võistkond"/>
    <s v="09.09.23"/>
    <n v="83"/>
    <n v="90"/>
    <n v="94"/>
    <m/>
    <m/>
    <m/>
    <n v="267"/>
  </r>
  <r>
    <x v="106"/>
    <s v="Pärnumaa"/>
    <x v="0"/>
    <x v="6"/>
    <s v="Võistkond"/>
    <s v="09.09.23"/>
    <n v="98"/>
    <n v="99"/>
    <n v="100"/>
    <m/>
    <m/>
    <m/>
    <n v="297"/>
  </r>
  <r>
    <x v="24"/>
    <s v="Saaremaa"/>
    <x v="0"/>
    <x v="6"/>
    <s v="Võistkond"/>
    <s v="09.09.23"/>
    <n v="80"/>
    <n v="86"/>
    <n v="82"/>
    <m/>
    <m/>
    <m/>
    <n v="248"/>
  </r>
  <r>
    <x v="194"/>
    <s v="Harju"/>
    <x v="0"/>
    <x v="6"/>
    <s v="Võistkond"/>
    <s v="10.09.23"/>
    <n v="97"/>
    <n v="97"/>
    <n v="96"/>
    <m/>
    <m/>
    <m/>
    <n v="290"/>
  </r>
  <r>
    <x v="204"/>
    <s v="Põlva"/>
    <x v="0"/>
    <x v="6"/>
    <s v="Võistkond"/>
    <s v="10.09.23"/>
    <n v="91"/>
    <n v="81"/>
    <n v="78"/>
    <m/>
    <m/>
    <m/>
    <n v="250"/>
  </r>
  <r>
    <x v="180"/>
    <s v="Sakala"/>
    <x v="0"/>
    <x v="6"/>
    <s v="Võistkond"/>
    <s v="10.09.23"/>
    <n v="79"/>
    <n v="80"/>
    <n v="82"/>
    <m/>
    <m/>
    <m/>
    <n v="241"/>
  </r>
  <r>
    <x v="205"/>
    <s v="Tartu"/>
    <x v="0"/>
    <x v="6"/>
    <s v="Võistkond"/>
    <s v="10.09.23"/>
    <n v="99"/>
    <n v="98"/>
    <n v="100"/>
    <m/>
    <m/>
    <m/>
    <n v="297"/>
  </r>
  <r>
    <x v="206"/>
    <s v="Tartu"/>
    <x v="0"/>
    <x v="6"/>
    <s v="Individuaalne"/>
    <s v="10.09.23"/>
    <n v="98"/>
    <n v="99"/>
    <n v="96"/>
    <m/>
    <m/>
    <m/>
    <n v="293"/>
  </r>
  <r>
    <x v="64"/>
    <s v="Tartu"/>
    <x v="0"/>
    <x v="6"/>
    <s v="Individuaalne"/>
    <s v="10.09.23"/>
    <n v="84"/>
    <n v="88"/>
    <n v="88"/>
    <m/>
    <m/>
    <m/>
    <n v="260"/>
  </r>
  <r>
    <x v="207"/>
    <s v="Viru"/>
    <x v="0"/>
    <x v="6"/>
    <s v="Individuaalne"/>
    <s v="10.09.23"/>
    <n v="98"/>
    <n v="96"/>
    <n v="99"/>
    <m/>
    <m/>
    <m/>
    <n v="293"/>
  </r>
  <r>
    <x v="92"/>
    <s v="Viru"/>
    <x v="0"/>
    <x v="6"/>
    <s v="Võistkond"/>
    <s v="10.09.23"/>
    <n v="98"/>
    <n v="100"/>
    <n v="97"/>
    <m/>
    <m/>
    <m/>
    <n v="295"/>
  </r>
  <r>
    <x v="208"/>
    <s v="Võrumaa"/>
    <x v="0"/>
    <x v="6"/>
    <s v="Võistkond"/>
    <s v="10.09.23"/>
    <n v="60"/>
    <n v="79"/>
    <n v="69"/>
    <m/>
    <m/>
    <m/>
    <n v="208"/>
  </r>
  <r>
    <x v="81"/>
    <s v="Pärnumaa"/>
    <x v="0"/>
    <x v="6"/>
    <s v="Individuaalne"/>
    <s v="09.09.23"/>
    <n v="78"/>
    <n v="80"/>
    <n v="82"/>
    <m/>
    <m/>
    <m/>
    <n v="240"/>
  </r>
  <r>
    <x v="191"/>
    <s v="Tallinn"/>
    <x v="0"/>
    <x v="6"/>
    <s v="Võistkond"/>
    <s v="09.09.23"/>
    <n v="73"/>
    <n v="75"/>
    <n v="73"/>
    <m/>
    <m/>
    <m/>
    <n v="221"/>
  </r>
  <r>
    <x v="86"/>
    <s v="Lääne"/>
    <x v="0"/>
    <x v="6"/>
    <s v="Võistkond"/>
    <s v="10.09.23"/>
    <n v="87"/>
    <n v="93"/>
    <n v="86"/>
    <m/>
    <m/>
    <m/>
    <n v="266"/>
  </r>
  <r>
    <x v="209"/>
    <s v="Rapla"/>
    <x v="0"/>
    <x v="6"/>
    <s v="Võistkond"/>
    <s v="10.09.23"/>
    <n v="67"/>
    <n v="81"/>
    <n v="90"/>
    <m/>
    <m/>
    <m/>
    <n v="238"/>
  </r>
  <r>
    <x v="210"/>
    <s v="Alutaguse"/>
    <x v="0"/>
    <x v="7"/>
    <s v="Võistkond"/>
    <s v="09.09.23"/>
    <n v="96"/>
    <n v="95"/>
    <n v="97"/>
    <n v="95"/>
    <n v="91"/>
    <n v="88"/>
    <n v="562"/>
  </r>
  <r>
    <x v="211"/>
    <s v="Alutaguse"/>
    <x v="1"/>
    <x v="7"/>
    <s v="Võistkond"/>
    <s v="09.09.23"/>
    <n v="97"/>
    <n v="99"/>
    <n v="100"/>
    <n v="98"/>
    <n v="95"/>
    <n v="97"/>
    <n v="586"/>
  </r>
  <r>
    <x v="212"/>
    <s v="Alutaguse"/>
    <x v="2"/>
    <x v="7"/>
    <s v="Võistkond"/>
    <s v="09.09.23"/>
    <n v="85"/>
    <n v="93"/>
    <n v="98"/>
    <n v="96"/>
    <n v="86"/>
    <n v="82"/>
    <n v="540"/>
  </r>
  <r>
    <x v="213"/>
    <s v="Alutaguse"/>
    <x v="3"/>
    <x v="7"/>
    <s v="Võistkond"/>
    <s v="09.09.23"/>
    <n v="93"/>
    <n v="96"/>
    <n v="96"/>
    <n v="93"/>
    <n v="91"/>
    <n v="94"/>
    <n v="563"/>
  </r>
  <r>
    <x v="214"/>
    <s v="Järva"/>
    <x v="0"/>
    <x v="7"/>
    <s v="Võistkond"/>
    <s v="09.09.23"/>
    <n v="96"/>
    <n v="96"/>
    <n v="97"/>
    <n v="99"/>
    <n v="97"/>
    <n v="98"/>
    <n v="583"/>
  </r>
  <r>
    <x v="215"/>
    <s v="Järva"/>
    <x v="1"/>
    <x v="7"/>
    <s v="Võistkond"/>
    <s v="09.09.23"/>
    <n v="76"/>
    <n v="80"/>
    <n v="97"/>
    <n v="86"/>
    <n v="78"/>
    <n v="76"/>
    <n v="493"/>
  </r>
  <r>
    <x v="216"/>
    <s v="Järva"/>
    <x v="2"/>
    <x v="7"/>
    <s v="Võistkond"/>
    <s v="09.09.23"/>
    <n v="75"/>
    <n v="76"/>
    <n v="94"/>
    <n v="92"/>
    <n v="76"/>
    <n v="74"/>
    <n v="487"/>
  </r>
  <r>
    <x v="217"/>
    <s v="Järva"/>
    <x v="3"/>
    <x v="7"/>
    <s v="Võistkond"/>
    <s v="09.09.23"/>
    <n v="72"/>
    <n v="76"/>
    <n v="86"/>
    <n v="95"/>
    <n v="61"/>
    <n v="50"/>
    <n v="440"/>
  </r>
  <r>
    <x v="11"/>
    <s v="KKÜ"/>
    <x v="0"/>
    <x v="7"/>
    <s v="Võistkond"/>
    <s v="09.09.23"/>
    <n v="94"/>
    <n v="97"/>
    <n v="96"/>
    <n v="100"/>
    <n v="90"/>
    <n v="94"/>
    <n v="571"/>
  </r>
  <r>
    <x v="135"/>
    <s v="Pärnumaa"/>
    <x v="2"/>
    <x v="7"/>
    <s v="Võistkond"/>
    <s v="09.09.23"/>
    <n v="86"/>
    <n v="87"/>
    <n v="85"/>
    <n v="90"/>
    <n v="85"/>
    <n v="87"/>
    <n v="520"/>
  </r>
  <r>
    <x v="218"/>
    <s v="Pärnumaa"/>
    <x v="1"/>
    <x v="7"/>
    <s v="Võistkond"/>
    <s v="09.09.23"/>
    <n v="93"/>
    <n v="90"/>
    <n v="98"/>
    <n v="95"/>
    <n v="89"/>
    <n v="92"/>
    <n v="557"/>
  </r>
  <r>
    <x v="20"/>
    <s v="Pärnumaa"/>
    <x v="0"/>
    <x v="7"/>
    <s v="Võistkond"/>
    <s v="09.09.23"/>
    <n v="91"/>
    <n v="92"/>
    <n v="95"/>
    <n v="94"/>
    <n v="88"/>
    <n v="86"/>
    <n v="546"/>
  </r>
  <r>
    <x v="219"/>
    <s v="Pärnumaa"/>
    <x v="3"/>
    <x v="7"/>
    <s v="Võistkond"/>
    <s v="09.09.23"/>
    <n v="90"/>
    <n v="95"/>
    <n v="94"/>
    <n v="93"/>
    <n v="92"/>
    <n v="91"/>
    <n v="555"/>
  </r>
  <r>
    <x v="220"/>
    <s v="Tallinn"/>
    <x v="0"/>
    <x v="7"/>
    <s v="Võistkond"/>
    <s v="09.09.23"/>
    <n v="90"/>
    <n v="91"/>
    <n v="94"/>
    <n v="94"/>
    <n v="89"/>
    <n v="91"/>
    <n v="549"/>
  </r>
  <r>
    <x v="221"/>
    <s v="Tallinn"/>
    <x v="3"/>
    <x v="7"/>
    <s v="Võistkond"/>
    <s v="09.09.23"/>
    <n v="86"/>
    <n v="86"/>
    <n v="91"/>
    <n v="90"/>
    <n v="63"/>
    <n v="74"/>
    <n v="490"/>
  </r>
  <r>
    <x v="222"/>
    <s v="Tallinn"/>
    <x v="1"/>
    <x v="7"/>
    <s v="Võistkond"/>
    <s v="09.09.23"/>
    <n v="97"/>
    <n v="96"/>
    <n v="98"/>
    <n v="100"/>
    <n v="94"/>
    <n v="90"/>
    <n v="575"/>
  </r>
  <r>
    <x v="30"/>
    <s v="Tallinn"/>
    <x v="1"/>
    <x v="7"/>
    <s v="Individuaalne"/>
    <s v="09.09.23"/>
    <n v="94"/>
    <n v="98"/>
    <n v="96"/>
    <n v="98"/>
    <n v="89"/>
    <n v="85"/>
    <n v="560"/>
  </r>
  <r>
    <x v="223"/>
    <s v="Harju"/>
    <x v="3"/>
    <x v="7"/>
    <s v="Võistkond"/>
    <s v="10.09.23"/>
    <n v="90"/>
    <n v="91"/>
    <n v="94"/>
    <n v="96"/>
    <n v="86"/>
    <n v="92"/>
    <n v="549"/>
  </r>
  <r>
    <x v="224"/>
    <s v="Harju"/>
    <x v="3"/>
    <x v="7"/>
    <s v="Individuaalne"/>
    <s v="10.09.23"/>
    <n v="88"/>
    <n v="90"/>
    <n v="93"/>
    <n v="96"/>
    <n v="82"/>
    <n v="80"/>
    <n v="529"/>
  </r>
  <r>
    <x v="225"/>
    <s v="Harju"/>
    <x v="2"/>
    <x v="7"/>
    <s v="Võistkond"/>
    <s v="10.09.23"/>
    <n v="87"/>
    <n v="90"/>
    <n v="95"/>
    <n v="95"/>
    <n v="78"/>
    <n v="78"/>
    <n v="523"/>
  </r>
  <r>
    <x v="226"/>
    <s v="Lääne"/>
    <x v="0"/>
    <x v="7"/>
    <s v="Võistkond"/>
    <s v="10.09.23"/>
    <n v="92"/>
    <n v="90"/>
    <n v="94"/>
    <n v="93"/>
    <n v="88"/>
    <n v="86"/>
    <n v="543"/>
  </r>
  <r>
    <x v="227"/>
    <s v="Lääne"/>
    <x v="1"/>
    <x v="7"/>
    <s v="Võistkond"/>
    <s v="10.09.23"/>
    <n v="74"/>
    <n v="77"/>
    <n v="91"/>
    <n v="93"/>
    <n v="71"/>
    <n v="58"/>
    <n v="464"/>
  </r>
  <r>
    <x v="228"/>
    <s v="Lääne"/>
    <x v="2"/>
    <x v="7"/>
    <s v="Võistkond"/>
    <s v="10.09.23"/>
    <n v="82"/>
    <n v="85"/>
    <n v="83"/>
    <n v="80"/>
    <n v="38"/>
    <n v="47"/>
    <n v="415"/>
  </r>
  <r>
    <x v="229"/>
    <s v="Lääne"/>
    <x v="3"/>
    <x v="7"/>
    <s v="Võistkond"/>
    <s v="10.09.23"/>
    <n v="84"/>
    <n v="77"/>
    <n v="83"/>
    <n v="85"/>
    <n v="51"/>
    <n v="74"/>
    <n v="454"/>
  </r>
  <r>
    <x v="148"/>
    <s v="Põlva"/>
    <x v="0"/>
    <x v="7"/>
    <s v="Võistkond"/>
    <s v="10.09.23"/>
    <n v="88"/>
    <n v="84"/>
    <n v="93"/>
    <n v="92"/>
    <n v="80"/>
    <n v="70"/>
    <n v="507"/>
  </r>
  <r>
    <x v="47"/>
    <s v="Põlva"/>
    <x v="1"/>
    <x v="7"/>
    <s v="Võistkond"/>
    <s v="10.09.23"/>
    <n v="84"/>
    <n v="79"/>
    <n v="92"/>
    <n v="91"/>
    <n v="71"/>
    <n v="68"/>
    <n v="485"/>
  </r>
  <r>
    <x v="230"/>
    <s v="Rapla"/>
    <x v="0"/>
    <x v="7"/>
    <s v="Võistkond"/>
    <s v="10.09.23"/>
    <n v="89"/>
    <n v="91"/>
    <n v="96"/>
    <n v="97"/>
    <n v="78"/>
    <n v="83"/>
    <n v="534"/>
  </r>
  <r>
    <x v="51"/>
    <s v="Rapla"/>
    <x v="1"/>
    <x v="7"/>
    <s v="Võistkond"/>
    <s v="10.09.23"/>
    <n v="96"/>
    <n v="95"/>
    <n v="95"/>
    <n v="96"/>
    <n v="92"/>
    <n v="94"/>
    <n v="568"/>
  </r>
  <r>
    <x v="231"/>
    <s v="Rapla"/>
    <x v="3"/>
    <x v="7"/>
    <s v="Võistkond"/>
    <s v="10.09.23"/>
    <n v="83"/>
    <n v="86"/>
    <n v="95"/>
    <n v="97"/>
    <n v="87"/>
    <n v="82"/>
    <n v="530"/>
  </r>
  <r>
    <x v="232"/>
    <s v="Sakala"/>
    <x v="1"/>
    <x v="7"/>
    <s v="Võistkond"/>
    <s v="10.09.23"/>
    <n v="89"/>
    <n v="88"/>
    <n v="96"/>
    <n v="94"/>
    <n v="76"/>
    <n v="75"/>
    <n v="518"/>
  </r>
  <r>
    <x v="233"/>
    <s v="Sakala"/>
    <x v="2"/>
    <x v="7"/>
    <s v="Võistkond"/>
    <s v="10.09.23"/>
    <n v="87"/>
    <n v="75"/>
    <n v="92"/>
    <n v="88"/>
    <n v="59"/>
    <n v="53"/>
    <n v="454"/>
  </r>
  <r>
    <x v="234"/>
    <s v="Sakala"/>
    <x v="3"/>
    <x v="7"/>
    <s v="Võistkond"/>
    <s v="10.09.23"/>
    <n v="74"/>
    <n v="57"/>
    <n v="81"/>
    <n v="80"/>
    <n v="48"/>
    <n v="34"/>
    <n v="374"/>
  </r>
  <r>
    <x v="55"/>
    <s v="Sakala"/>
    <x v="0"/>
    <x v="7"/>
    <s v="Võistkond"/>
    <s v="10.09.23"/>
    <n v="90"/>
    <n v="92"/>
    <n v="96"/>
    <n v="98"/>
    <n v="72"/>
    <n v="75"/>
    <n v="523"/>
  </r>
  <r>
    <x v="235"/>
    <s v="Tartu"/>
    <x v="0"/>
    <x v="7"/>
    <s v="Individuaalne"/>
    <s v="10.09.23"/>
    <n v="92"/>
    <n v="92"/>
    <n v="95"/>
    <n v="96"/>
    <n v="91"/>
    <n v="88"/>
    <n v="554"/>
  </r>
  <r>
    <x v="236"/>
    <s v="Tartu"/>
    <x v="0"/>
    <x v="7"/>
    <s v="Võistkond"/>
    <s v="10.09.23"/>
    <n v="96"/>
    <n v="97"/>
    <n v="99"/>
    <n v="98"/>
    <n v="89"/>
    <n v="86"/>
    <n v="565"/>
  </r>
  <r>
    <x v="158"/>
    <s v="Tartu"/>
    <x v="2"/>
    <x v="7"/>
    <s v="Võistkond"/>
    <s v="10.09.23"/>
    <n v="80"/>
    <n v="87"/>
    <n v="94"/>
    <n v="91"/>
    <n v="64"/>
    <n v="59"/>
    <n v="475"/>
  </r>
  <r>
    <x v="237"/>
    <s v="Tartu"/>
    <x v="1"/>
    <x v="7"/>
    <s v="Võistkond"/>
    <s v="10.09.23"/>
    <n v="95"/>
    <n v="93"/>
    <n v="97"/>
    <n v="99"/>
    <n v="91"/>
    <n v="96"/>
    <n v="571"/>
  </r>
  <r>
    <x v="238"/>
    <s v="Tartu"/>
    <x v="3"/>
    <x v="7"/>
    <s v="Võistkond"/>
    <s v="10.09.23"/>
    <n v="95"/>
    <n v="98"/>
    <n v="98"/>
    <n v="90"/>
    <n v="87"/>
    <n v="93"/>
    <n v="561"/>
  </r>
  <r>
    <x v="239"/>
    <s v="Viru"/>
    <x v="0"/>
    <x v="7"/>
    <s v="Võistkond"/>
    <s v="10.09.23"/>
    <n v="90"/>
    <n v="97"/>
    <n v="96"/>
    <n v="97"/>
    <n v="87"/>
    <n v="81"/>
    <n v="548"/>
  </r>
  <r>
    <x v="240"/>
    <s v="Viru"/>
    <x v="1"/>
    <x v="7"/>
    <s v="Võistkond"/>
    <s v="10.09.23"/>
    <n v="74"/>
    <n v="68"/>
    <n v="79"/>
    <n v="71"/>
    <n v="27"/>
    <n v="33"/>
    <n v="352"/>
  </r>
  <r>
    <x v="159"/>
    <s v="Viru"/>
    <x v="2"/>
    <x v="7"/>
    <s v="Võistkond"/>
    <s v="10.09.23"/>
    <n v="81"/>
    <n v="88"/>
    <n v="93"/>
    <n v="89"/>
    <n v="68"/>
    <n v="71"/>
    <n v="490"/>
  </r>
  <r>
    <x v="241"/>
    <s v="Viru"/>
    <x v="3"/>
    <x v="7"/>
    <s v="Võistkond"/>
    <s v="10.09.23"/>
    <n v="85"/>
    <n v="88"/>
    <n v="90"/>
    <n v="92"/>
    <n v="78"/>
    <n v="74"/>
    <n v="507"/>
  </r>
  <r>
    <x v="242"/>
    <s v="Võrumaa"/>
    <x v="2"/>
    <x v="7"/>
    <s v="Võistkond"/>
    <s v="10.09.23"/>
    <n v="52"/>
    <n v="45"/>
    <n v="85"/>
    <n v="91"/>
    <n v="30"/>
    <n v="40"/>
    <n v="343"/>
  </r>
  <r>
    <x v="243"/>
    <s v="Võrumaa"/>
    <x v="3"/>
    <x v="7"/>
    <s v="Võistkond"/>
    <s v="10.09.23"/>
    <n v="71"/>
    <n v="67"/>
    <n v="84"/>
    <n v="80"/>
    <n v="59"/>
    <n v="45"/>
    <n v="406"/>
  </r>
  <r>
    <x v="93"/>
    <s v="Võrumaa"/>
    <x v="0"/>
    <x v="7"/>
    <s v="Võistkond"/>
    <s v="10.09.23"/>
    <n v="63"/>
    <n v="54"/>
    <n v="89"/>
    <n v="89"/>
    <n v="43"/>
    <n v="58"/>
    <n v="396"/>
  </r>
  <r>
    <x v="244"/>
    <s v="Võrumaa"/>
    <x v="1"/>
    <x v="7"/>
    <s v="Võistkond"/>
    <s v="10.09.23"/>
    <n v="86"/>
    <n v="75"/>
    <n v="100"/>
    <n v="92"/>
    <n v="76"/>
    <n v="71"/>
    <n v="500"/>
  </r>
  <r>
    <x v="29"/>
    <s v="Tallinn"/>
    <x v="0"/>
    <x v="7"/>
    <s v="Individuaalne"/>
    <s v="09.09.23"/>
    <n v="94"/>
    <n v="91"/>
    <n v="95"/>
    <n v="95"/>
    <n v="90"/>
    <n v="89"/>
    <n v="554"/>
  </r>
  <r>
    <x v="245"/>
    <s v="Alutaguse"/>
    <x v="4"/>
    <x v="8"/>
    <s v="Võistkond"/>
    <s v="09.09.23"/>
    <n v="91.2"/>
    <n v="95.1"/>
    <n v="98.1"/>
    <m/>
    <m/>
    <m/>
    <n v="284.39999999999998"/>
  </r>
  <r>
    <x v="246"/>
    <s v="Alutaguse"/>
    <x v="3"/>
    <x v="8"/>
    <s v="Individuaalne"/>
    <s v="09.09.23"/>
    <n v="101.1"/>
    <n v="101.3"/>
    <n v="103.3"/>
    <m/>
    <m/>
    <m/>
    <n v="305.7"/>
  </r>
  <r>
    <x v="247"/>
    <s v="Alutaguse"/>
    <x v="2"/>
    <x v="8"/>
    <s v="Individuaalne"/>
    <s v="09.09.23"/>
    <n v="97.5"/>
    <n v="98.3"/>
    <n v="99.7"/>
    <m/>
    <m/>
    <m/>
    <n v="295.5"/>
  </r>
  <r>
    <x v="248"/>
    <s v="Alutaguse"/>
    <x v="5"/>
    <x v="8"/>
    <s v="Võistkond"/>
    <s v="09.09.23"/>
    <n v="100.6"/>
    <n v="101.2"/>
    <n v="100.4"/>
    <m/>
    <m/>
    <m/>
    <n v="302.20000000000005"/>
  </r>
  <r>
    <x v="249"/>
    <s v="Alutaguse"/>
    <x v="3"/>
    <x v="8"/>
    <s v="Võistkond"/>
    <s v="09.09.23"/>
    <n v="99.4"/>
    <n v="100.4"/>
    <n v="102.1"/>
    <m/>
    <m/>
    <m/>
    <n v="301.89999999999998"/>
  </r>
  <r>
    <x v="250"/>
    <s v="Alutaguse"/>
    <x v="5"/>
    <x v="8"/>
    <s v="Individuaalne"/>
    <s v="09.09.23"/>
    <n v="100.8"/>
    <n v="101.4"/>
    <n v="101.1"/>
    <m/>
    <m/>
    <m/>
    <n v="303.29999999999995"/>
  </r>
  <r>
    <x v="251"/>
    <s v="Alutaguse"/>
    <x v="3"/>
    <x v="8"/>
    <s v="Individuaalne"/>
    <s v="09.09.23"/>
    <n v="94"/>
    <n v="94.5"/>
    <n v="91.7"/>
    <m/>
    <m/>
    <m/>
    <n v="280.2"/>
  </r>
  <r>
    <x v="252"/>
    <s v="Alutaguse"/>
    <x v="0"/>
    <x v="8"/>
    <s v="Võistkond"/>
    <s v="09.09.23"/>
    <n v="102.2"/>
    <n v="104.5"/>
    <n v="100.6"/>
    <m/>
    <m/>
    <m/>
    <n v="307.29999999999995"/>
  </r>
  <r>
    <x v="253"/>
    <s v="Alutaguse"/>
    <x v="1"/>
    <x v="8"/>
    <s v="Võistkond"/>
    <s v="09.09.23"/>
    <n v="99.1"/>
    <n v="103.4"/>
    <n v="104.1"/>
    <m/>
    <m/>
    <m/>
    <n v="306.60000000000002"/>
  </r>
  <r>
    <x v="254"/>
    <s v="Alutaguse"/>
    <x v="2"/>
    <x v="8"/>
    <s v="Võistkond"/>
    <s v="09.09.23"/>
    <n v="100.8"/>
    <n v="97.2"/>
    <n v="102.6"/>
    <m/>
    <m/>
    <m/>
    <n v="300.60000000000002"/>
  </r>
  <r>
    <x v="255"/>
    <s v="Järva"/>
    <x v="1"/>
    <x v="8"/>
    <s v="Võistkond"/>
    <s v="09.09.23"/>
    <n v="94.5"/>
    <n v="96.3"/>
    <n v="85.3"/>
    <m/>
    <m/>
    <m/>
    <n v="276.10000000000002"/>
  </r>
  <r>
    <x v="214"/>
    <s v="Järva"/>
    <x v="0"/>
    <x v="8"/>
    <s v="Võistkond"/>
    <s v="09.09.23"/>
    <n v="104.2"/>
    <n v="103.6"/>
    <n v="105.4"/>
    <m/>
    <m/>
    <m/>
    <n v="313.20000000000005"/>
  </r>
  <r>
    <x v="216"/>
    <s v="Järva"/>
    <x v="2"/>
    <x v="8"/>
    <s v="Võistkond"/>
    <s v="09.09.23"/>
    <n v="96.3"/>
    <n v="93.6"/>
    <n v="93.6"/>
    <m/>
    <m/>
    <m/>
    <n v="283.5"/>
  </r>
  <r>
    <x v="256"/>
    <s v="Järva"/>
    <x v="3"/>
    <x v="8"/>
    <s v="Võistkond"/>
    <s v="09.09.23"/>
    <n v="85.8"/>
    <n v="86.5"/>
    <n v="90.2"/>
    <m/>
    <m/>
    <m/>
    <n v="262.5"/>
  </r>
  <r>
    <x v="257"/>
    <s v="Järva"/>
    <x v="4"/>
    <x v="8"/>
    <s v="Võistkond"/>
    <s v="09.09.23"/>
    <n v="101.8"/>
    <n v="100.2"/>
    <n v="102.4"/>
    <m/>
    <m/>
    <m/>
    <n v="304.39999999999998"/>
  </r>
  <r>
    <x v="258"/>
    <s v="Järva"/>
    <x v="5"/>
    <x v="8"/>
    <s v="Võistkond"/>
    <s v="09.09.23"/>
    <n v="102.5"/>
    <n v="101.3"/>
    <n v="102.8"/>
    <m/>
    <m/>
    <m/>
    <n v="306.60000000000002"/>
  </r>
  <r>
    <x v="259"/>
    <s v="KKÜ"/>
    <x v="0"/>
    <x v="8"/>
    <s v="Võistkond"/>
    <s v="09.09.23"/>
    <n v="97.9"/>
    <n v="98.4"/>
    <n v="99.1"/>
    <m/>
    <m/>
    <m/>
    <n v="295.39999999999998"/>
  </r>
  <r>
    <x v="171"/>
    <s v="KKÜ"/>
    <x v="1"/>
    <x v="8"/>
    <s v="Võistkond"/>
    <s v="09.09.23"/>
    <n v="94.2"/>
    <n v="93.7"/>
    <n v="93.2"/>
    <m/>
    <m/>
    <m/>
    <n v="281.10000000000002"/>
  </r>
  <r>
    <x v="260"/>
    <s v="Pärnumaa"/>
    <x v="5"/>
    <x v="8"/>
    <s v="Võistkond"/>
    <s v="09.09.23"/>
    <n v="90"/>
    <n v="96.2"/>
    <n v="86.8"/>
    <m/>
    <m/>
    <m/>
    <n v="273"/>
  </r>
  <r>
    <x v="261"/>
    <s v="Pärnumaa"/>
    <x v="2"/>
    <x v="8"/>
    <s v="Võistkond"/>
    <s v="09.09.23"/>
    <n v="95.5"/>
    <n v="95.2"/>
    <n v="98.7"/>
    <m/>
    <m/>
    <m/>
    <n v="289.39999999999998"/>
  </r>
  <r>
    <x v="219"/>
    <s v="Pärnumaa"/>
    <x v="3"/>
    <x v="8"/>
    <s v="Võistkond"/>
    <s v="09.09.23"/>
    <n v="100.2"/>
    <n v="100.4"/>
    <n v="98.6"/>
    <m/>
    <m/>
    <m/>
    <n v="299.20000000000005"/>
  </r>
  <r>
    <x v="262"/>
    <s v="Pärnumaa"/>
    <x v="0"/>
    <x v="8"/>
    <s v="Võistkond"/>
    <s v="09.09.23"/>
    <n v="98.8"/>
    <n v="94.1"/>
    <n v="92.4"/>
    <m/>
    <m/>
    <m/>
    <n v="285.29999999999995"/>
  </r>
  <r>
    <x v="218"/>
    <s v="Pärnumaa"/>
    <x v="1"/>
    <x v="8"/>
    <s v="Võistkond"/>
    <s v="09.09.23"/>
    <n v="102.8"/>
    <n v="102.1"/>
    <n v="102.7"/>
    <m/>
    <m/>
    <m/>
    <n v="307.59999999999997"/>
  </r>
  <r>
    <x v="263"/>
    <s v="Pärnumaa"/>
    <x v="4"/>
    <x v="8"/>
    <s v="Võistkond"/>
    <s v="09.09.23"/>
    <n v="103.8"/>
    <n v="101"/>
    <n v="102.8"/>
    <m/>
    <m/>
    <m/>
    <n v="307.60000000000002"/>
  </r>
  <r>
    <x v="25"/>
    <s v="Saaremaa"/>
    <x v="0"/>
    <x v="8"/>
    <s v="Võistkond"/>
    <s v="09.09.23"/>
    <n v="101.6"/>
    <n v="101.6"/>
    <n v="101.6"/>
    <m/>
    <m/>
    <m/>
    <n v="304.79999999999995"/>
  </r>
  <r>
    <x v="264"/>
    <s v="Saaremaa"/>
    <x v="1"/>
    <x v="8"/>
    <s v="Võistkond"/>
    <s v="09.09.23"/>
    <n v="95.7"/>
    <n v="97.6"/>
    <n v="93.2"/>
    <m/>
    <m/>
    <m/>
    <n v="286.5"/>
  </r>
  <r>
    <x v="265"/>
    <s v="Saaremaa"/>
    <x v="1"/>
    <x v="8"/>
    <s v="Individuaalne"/>
    <s v="09.09.23"/>
    <n v="98.9"/>
    <n v="96.3"/>
    <n v="97.6"/>
    <m/>
    <m/>
    <m/>
    <n v="292.79999999999995"/>
  </r>
  <r>
    <x v="266"/>
    <s v="Tallinn"/>
    <x v="1"/>
    <x v="8"/>
    <s v="Võistkond"/>
    <s v="09.09.23"/>
    <n v="102.6"/>
    <n v="104.5"/>
    <n v="101.3"/>
    <m/>
    <m/>
    <m/>
    <n v="308.39999999999998"/>
  </r>
  <r>
    <x v="267"/>
    <s v="Tallinn"/>
    <x v="0"/>
    <x v="8"/>
    <s v="Võistkond"/>
    <s v="09.09.23"/>
    <n v="103.6"/>
    <n v="105.7"/>
    <n v="100.7"/>
    <m/>
    <m/>
    <m/>
    <n v="310"/>
  </r>
  <r>
    <x v="268"/>
    <s v="Tallinn"/>
    <x v="2"/>
    <x v="8"/>
    <s v="Võistkond"/>
    <s v="09.09.23"/>
    <n v="93.6"/>
    <n v="87.6"/>
    <n v="93"/>
    <m/>
    <m/>
    <m/>
    <n v="274.2"/>
  </r>
  <r>
    <x v="269"/>
    <s v="Tallinn"/>
    <x v="5"/>
    <x v="8"/>
    <s v="Võistkond"/>
    <s v="09.09.23"/>
    <n v="99.8"/>
    <n v="101.8"/>
    <n v="102"/>
    <m/>
    <m/>
    <m/>
    <n v="303.60000000000002"/>
  </r>
  <r>
    <x v="270"/>
    <s v="Tallinn"/>
    <x v="4"/>
    <x v="8"/>
    <s v="Võistkond"/>
    <s v="09.09.23"/>
    <n v="99.6"/>
    <n v="98"/>
    <n v="97.6"/>
    <m/>
    <m/>
    <m/>
    <n v="295.2"/>
  </r>
  <r>
    <x v="271"/>
    <s v="Tallinn"/>
    <x v="3"/>
    <x v="8"/>
    <s v="Võistkond"/>
    <s v="09.09.23"/>
    <n v="96.4"/>
    <n v="98.3"/>
    <n v="95.6"/>
    <m/>
    <m/>
    <m/>
    <n v="290.29999999999995"/>
  </r>
  <r>
    <x v="222"/>
    <s v="Tallinn"/>
    <x v="1"/>
    <x v="8"/>
    <s v="Individuaalne"/>
    <s v="09.09.23"/>
    <n v="104.1"/>
    <n v="102.9"/>
    <n v="100.9"/>
    <m/>
    <m/>
    <m/>
    <n v="307.89999999999998"/>
  </r>
  <r>
    <x v="188"/>
    <s v="Pärnumaa"/>
    <x v="0"/>
    <x v="8"/>
    <s v="Individuaalne"/>
    <s v="09.09.23"/>
    <n v="83.2"/>
    <n v="95.7"/>
    <n v="101.2"/>
    <m/>
    <m/>
    <m/>
    <n v="280.10000000000002"/>
  </r>
  <r>
    <x v="187"/>
    <s v="KL peastaap"/>
    <x v="0"/>
    <x v="8"/>
    <s v="Individuaalne"/>
    <s v="09.09.23"/>
    <n v="98.1"/>
    <n v="98.9"/>
    <n v="97.9"/>
    <m/>
    <m/>
    <m/>
    <n v="294.89999999999998"/>
  </r>
  <r>
    <x v="272"/>
    <s v="Harju"/>
    <x v="2"/>
    <x v="8"/>
    <s v="Võistkond"/>
    <s v="10.09.23"/>
    <n v="95.9"/>
    <n v="100.9"/>
    <n v="97"/>
    <m/>
    <m/>
    <m/>
    <n v="293.8"/>
  </r>
  <r>
    <x v="273"/>
    <s v="Harju"/>
    <x v="1"/>
    <x v="8"/>
    <s v="Individuaalne"/>
    <s v="10.09.23"/>
    <n v="93.5"/>
    <n v="93"/>
    <n v="98.2"/>
    <m/>
    <m/>
    <m/>
    <n v="284.7"/>
  </r>
  <r>
    <x v="274"/>
    <s v="Harju"/>
    <x v="1"/>
    <x v="8"/>
    <s v="Võistkond"/>
    <s v="10.09.23"/>
    <n v="101.1"/>
    <n v="98"/>
    <n v="94.2"/>
    <m/>
    <m/>
    <m/>
    <n v="293.3"/>
  </r>
  <r>
    <x v="224"/>
    <s v="Harju"/>
    <x v="3"/>
    <x v="8"/>
    <s v="Võistkond"/>
    <s v="10.09.23"/>
    <n v="103.5"/>
    <n v="99.2"/>
    <n v="95.4"/>
    <m/>
    <m/>
    <m/>
    <n v="298.10000000000002"/>
  </r>
  <r>
    <x v="275"/>
    <s v="Lääne"/>
    <x v="0"/>
    <x v="8"/>
    <s v="Võistkond"/>
    <s v="10.09.23"/>
    <n v="90.8"/>
    <n v="87.5"/>
    <n v="83.1"/>
    <m/>
    <m/>
    <m/>
    <n v="261.39999999999998"/>
  </r>
  <r>
    <x v="276"/>
    <s v="Lääne"/>
    <x v="1"/>
    <x v="8"/>
    <s v="Võistkond"/>
    <s v="10.09.23"/>
    <n v="94.2"/>
    <n v="93.5"/>
    <n v="96.9"/>
    <m/>
    <m/>
    <m/>
    <n v="284.60000000000002"/>
  </r>
  <r>
    <x v="277"/>
    <s v="Lääne"/>
    <x v="3"/>
    <x v="8"/>
    <s v="Võistkond"/>
    <s v="10.09.23"/>
    <n v="83.7"/>
    <n v="73.900000000000006"/>
    <n v="69.5"/>
    <m/>
    <m/>
    <m/>
    <n v="227.10000000000002"/>
  </r>
  <r>
    <x v="278"/>
    <s v="Lääne"/>
    <x v="3"/>
    <x v="8"/>
    <s v="Individuaalne"/>
    <s v="10.09.23"/>
    <n v="97.6"/>
    <n v="95"/>
    <n v="98.2"/>
    <m/>
    <m/>
    <m/>
    <n v="290.8"/>
  </r>
  <r>
    <x v="279"/>
    <s v="Lääne"/>
    <x v="2"/>
    <x v="8"/>
    <s v="Võistkond"/>
    <s v="10.09.23"/>
    <n v="96.8"/>
    <n v="90.5"/>
    <n v="95.4"/>
    <m/>
    <m/>
    <m/>
    <n v="282.70000000000005"/>
  </r>
  <r>
    <x v="280"/>
    <s v="Lääne"/>
    <x v="4"/>
    <x v="8"/>
    <s v="Võistkond"/>
    <s v="10.09.23"/>
    <n v="94.7"/>
    <n v="95.7"/>
    <n v="100.8"/>
    <m/>
    <m/>
    <m/>
    <n v="291.2"/>
  </r>
  <r>
    <x v="281"/>
    <s v="Lääne"/>
    <x v="5"/>
    <x v="8"/>
    <s v="Võistkond"/>
    <s v="10.09.23"/>
    <n v="95.2"/>
    <n v="91"/>
    <n v="92.6"/>
    <m/>
    <m/>
    <m/>
    <n v="278.79999999999995"/>
  </r>
  <r>
    <x v="282"/>
    <s v="Põlva"/>
    <x v="0"/>
    <x v="8"/>
    <s v="Võistkond"/>
    <s v="10.09.23"/>
    <n v="99.8"/>
    <n v="102.8"/>
    <n v="101.6"/>
    <m/>
    <m/>
    <m/>
    <n v="304.2"/>
  </r>
  <r>
    <x v="196"/>
    <s v="Põlva"/>
    <x v="1"/>
    <x v="8"/>
    <s v="Võistkond"/>
    <s v="10.09.23"/>
    <n v="86.1"/>
    <n v="97.6"/>
    <n v="93.2"/>
    <m/>
    <m/>
    <m/>
    <n v="276.89999999999998"/>
  </r>
  <r>
    <x v="283"/>
    <s v="Põlva"/>
    <x v="2"/>
    <x v="8"/>
    <s v="Võistkond"/>
    <s v="10.09.23"/>
    <n v="86.3"/>
    <n v="85.1"/>
    <n v="88.5"/>
    <m/>
    <m/>
    <m/>
    <n v="259.89999999999998"/>
  </r>
  <r>
    <x v="284"/>
    <s v="Põlva"/>
    <x v="3"/>
    <x v="8"/>
    <s v="Võistkond"/>
    <s v="10.09.23"/>
    <n v="96.7"/>
    <n v="93.2"/>
    <n v="96.4"/>
    <m/>
    <m/>
    <m/>
    <n v="286.3"/>
  </r>
  <r>
    <x v="285"/>
    <s v="Põlva"/>
    <x v="5"/>
    <x v="8"/>
    <s v="Võistkond"/>
    <s v="10.09.23"/>
    <n v="86.4"/>
    <n v="89.3"/>
    <n v="83.3"/>
    <m/>
    <m/>
    <m/>
    <n v="259"/>
  </r>
  <r>
    <x v="231"/>
    <s v="Rapla"/>
    <x v="3"/>
    <x v="8"/>
    <s v="Võistkond"/>
    <s v="10.09.23"/>
    <n v="97.7"/>
    <n v="97.7"/>
    <n v="97.3"/>
    <m/>
    <m/>
    <m/>
    <n v="292.7"/>
  </r>
  <r>
    <x v="286"/>
    <s v="Rapla"/>
    <x v="1"/>
    <x v="8"/>
    <s v="Võistkond"/>
    <s v="10.09.23"/>
    <n v="100.2"/>
    <n v="102.8"/>
    <n v="98.4"/>
    <m/>
    <m/>
    <m/>
    <n v="301.39999999999998"/>
  </r>
  <r>
    <x v="287"/>
    <s v="Rapla"/>
    <x v="2"/>
    <x v="8"/>
    <s v="Võistkond"/>
    <s v="10.09.23"/>
    <n v="95.3"/>
    <n v="95.4"/>
    <n v="93.4"/>
    <m/>
    <m/>
    <m/>
    <n v="284.10000000000002"/>
  </r>
  <r>
    <x v="288"/>
    <s v="Rapla"/>
    <x v="4"/>
    <x v="8"/>
    <s v="Võistkond"/>
    <s v="10.09.23"/>
    <n v="89.8"/>
    <n v="95.8"/>
    <n v="93.5"/>
    <m/>
    <m/>
    <m/>
    <n v="279.10000000000002"/>
  </r>
  <r>
    <x v="289"/>
    <s v="Rapla"/>
    <x v="5"/>
    <x v="8"/>
    <s v="Võistkond"/>
    <s v="10.09.23"/>
    <n v="88.3"/>
    <n v="94.8"/>
    <n v="93.2"/>
    <m/>
    <m/>
    <m/>
    <n v="276.3"/>
  </r>
  <r>
    <x v="230"/>
    <s v="Rapla"/>
    <x v="0"/>
    <x v="8"/>
    <s v="Võistkond"/>
    <s v="10.09.23"/>
    <n v="96.4"/>
    <n v="97.7"/>
    <n v="99.3"/>
    <m/>
    <m/>
    <m/>
    <n v="293.40000000000003"/>
  </r>
  <r>
    <x v="232"/>
    <s v="Sakala"/>
    <x v="1"/>
    <x v="8"/>
    <s v="Võistkond"/>
    <s v="10.09.23"/>
    <n v="98.6"/>
    <n v="99.2"/>
    <n v="99.4"/>
    <m/>
    <m/>
    <m/>
    <n v="297.20000000000005"/>
  </r>
  <r>
    <x v="233"/>
    <s v="Sakala"/>
    <x v="2"/>
    <x v="8"/>
    <s v="Võistkond"/>
    <s v="10.09.23"/>
    <n v="94.1"/>
    <n v="94.2"/>
    <n v="87.5"/>
    <m/>
    <m/>
    <m/>
    <n v="275.8"/>
  </r>
  <r>
    <x v="234"/>
    <s v="Sakala"/>
    <x v="3"/>
    <x v="8"/>
    <s v="Võistkond"/>
    <s v="10.09.23"/>
    <n v="70.099999999999994"/>
    <n v="40.6"/>
    <n v="42.3"/>
    <m/>
    <m/>
    <m/>
    <n v="153"/>
  </r>
  <r>
    <x v="290"/>
    <s v="Sakala"/>
    <x v="4"/>
    <x v="8"/>
    <s v="Võistkond"/>
    <s v="10.09.23"/>
    <n v="100.5"/>
    <n v="93.9"/>
    <n v="97.3"/>
    <m/>
    <m/>
    <m/>
    <n v="291.7"/>
  </r>
  <r>
    <x v="291"/>
    <s v="Sakala"/>
    <x v="5"/>
    <x v="8"/>
    <s v="Võistkond"/>
    <s v="10.09.23"/>
    <n v="90.9"/>
    <n v="91"/>
    <n v="95.1"/>
    <m/>
    <m/>
    <m/>
    <n v="277"/>
  </r>
  <r>
    <x v="55"/>
    <s v="Sakala"/>
    <x v="0"/>
    <x v="8"/>
    <s v="Võistkond"/>
    <s v="10.09.23"/>
    <n v="100.1"/>
    <n v="102.3"/>
    <n v="99.6"/>
    <m/>
    <m/>
    <m/>
    <n v="302"/>
  </r>
  <r>
    <x v="292"/>
    <s v="Tartu"/>
    <x v="4"/>
    <x v="8"/>
    <s v="Võistkond"/>
    <s v="10.09.23"/>
    <n v="86.9"/>
    <n v="98.5"/>
    <n v="93.5"/>
    <m/>
    <m/>
    <m/>
    <n v="278.89999999999998"/>
  </r>
  <r>
    <x v="293"/>
    <s v="Tartu"/>
    <x v="5"/>
    <x v="8"/>
    <s v="Võistkond"/>
    <s v="10.09.23"/>
    <n v="99.5"/>
    <n v="97.7"/>
    <n v="102.2"/>
    <m/>
    <m/>
    <m/>
    <n v="299.39999999999998"/>
  </r>
  <r>
    <x v="294"/>
    <s v="Tartu"/>
    <x v="2"/>
    <x v="8"/>
    <s v="Võistkond"/>
    <s v="10.09.23"/>
    <n v="75.8"/>
    <n v="83.7"/>
    <n v="74.099999999999994"/>
    <m/>
    <m/>
    <m/>
    <n v="233.6"/>
  </r>
  <r>
    <x v="235"/>
    <s v="Tartu"/>
    <x v="0"/>
    <x v="8"/>
    <s v="Võistkond"/>
    <s v="10.09.23"/>
    <n v="99.9"/>
    <n v="102.6"/>
    <n v="100.9"/>
    <m/>
    <m/>
    <m/>
    <n v="303.39999999999998"/>
  </r>
  <r>
    <x v="295"/>
    <s v="Tartu"/>
    <x v="5"/>
    <x v="8"/>
    <s v="Individuaalne"/>
    <s v="10.09.23"/>
    <n v="91"/>
    <n v="98.9"/>
    <n v="89.2"/>
    <m/>
    <m/>
    <m/>
    <n v="279.10000000000002"/>
  </r>
  <r>
    <x v="236"/>
    <s v="Tartu"/>
    <x v="0"/>
    <x v="8"/>
    <s v="Individuaalne"/>
    <s v="10.09.23"/>
    <n v="100.1"/>
    <n v="99.9"/>
    <n v="104.2"/>
    <m/>
    <m/>
    <m/>
    <n v="304.2"/>
  </r>
  <r>
    <x v="237"/>
    <s v="Tartu"/>
    <x v="1"/>
    <x v="8"/>
    <s v="Võistkond"/>
    <s v="10.09.23"/>
    <n v="102.5"/>
    <n v="98.9"/>
    <n v="103.3"/>
    <m/>
    <m/>
    <m/>
    <n v="304.7"/>
  </r>
  <r>
    <x v="238"/>
    <s v="Tartu"/>
    <x v="3"/>
    <x v="8"/>
    <s v="Võistkond"/>
    <s v="10.09.23"/>
    <n v="97.2"/>
    <n v="103.2"/>
    <n v="100.9"/>
    <m/>
    <m/>
    <m/>
    <n v="301.3"/>
  </r>
  <r>
    <x v="296"/>
    <s v="Viru"/>
    <x v="3"/>
    <x v="8"/>
    <s v="Võistkond"/>
    <s v="10.09.23"/>
    <n v="98.4"/>
    <n v="96"/>
    <n v="102.6"/>
    <m/>
    <m/>
    <m/>
    <n v="297"/>
  </r>
  <r>
    <x v="297"/>
    <s v="Viru"/>
    <x v="5"/>
    <x v="8"/>
    <s v="Võistkond"/>
    <s v="10.09.23"/>
    <n v="80.2"/>
    <n v="81.099999999999994"/>
    <n v="73.8"/>
    <m/>
    <m/>
    <m/>
    <n v="235.10000000000002"/>
  </r>
  <r>
    <x v="239"/>
    <s v="Viru"/>
    <x v="0"/>
    <x v="8"/>
    <s v="Võistkond"/>
    <s v="10.09.23"/>
    <n v="91.2"/>
    <n v="97.7"/>
    <n v="101.4"/>
    <m/>
    <m/>
    <m/>
    <n v="290.3"/>
  </r>
  <r>
    <x v="240"/>
    <s v="Viru"/>
    <x v="1"/>
    <x v="8"/>
    <s v="Võistkond"/>
    <s v="10.09.23"/>
    <n v="79.8"/>
    <n v="76.099999999999994"/>
    <n v="77.099999999999994"/>
    <m/>
    <m/>
    <m/>
    <n v="232.99999999999997"/>
  </r>
  <r>
    <x v="241"/>
    <s v="Viru"/>
    <x v="3"/>
    <x v="8"/>
    <s v="Individuaalne"/>
    <s v="10.09.23"/>
    <n v="99.7"/>
    <n v="99.1"/>
    <n v="100.9"/>
    <m/>
    <m/>
    <m/>
    <n v="299.70000000000005"/>
  </r>
  <r>
    <x v="298"/>
    <s v="Võrumaa"/>
    <x v="4"/>
    <x v="8"/>
    <s v="Võistkond"/>
    <s v="10.09.23"/>
    <n v="93.1"/>
    <n v="84.6"/>
    <n v="79.7"/>
    <m/>
    <m/>
    <m/>
    <n v="257.39999999999998"/>
  </r>
  <r>
    <x v="299"/>
    <s v="Võrumaa"/>
    <x v="5"/>
    <x v="8"/>
    <s v="Võistkond"/>
    <s v="10.09.23"/>
    <n v="97.6"/>
    <n v="90.1"/>
    <n v="94.1"/>
    <m/>
    <m/>
    <m/>
    <n v="281.79999999999995"/>
  </r>
  <r>
    <x v="244"/>
    <s v="Võrumaa"/>
    <x v="1"/>
    <x v="8"/>
    <s v="Võistkond"/>
    <s v="10.09.23"/>
    <n v="101.8"/>
    <n v="95.1"/>
    <n v="102.3"/>
    <m/>
    <m/>
    <m/>
    <n v="299.2"/>
  </r>
  <r>
    <x v="242"/>
    <s v="Võrumaa"/>
    <x v="2"/>
    <x v="8"/>
    <s v="Võistkond"/>
    <s v="10.09.23"/>
    <n v="85.8"/>
    <n v="79.8"/>
    <n v="84.4"/>
    <m/>
    <m/>
    <m/>
    <n v="250"/>
  </r>
  <r>
    <x v="243"/>
    <s v="Võrumaa"/>
    <x v="3"/>
    <x v="8"/>
    <s v="Võistkond"/>
    <s v="10.09.23"/>
    <n v="93.6"/>
    <n v="88.4"/>
    <n v="91.4"/>
    <m/>
    <m/>
    <m/>
    <n v="273.39999999999998"/>
  </r>
  <r>
    <x v="72"/>
    <s v="Võrumaa"/>
    <x v="0"/>
    <x v="8"/>
    <s v="Võistkond"/>
    <s v="10.09.23"/>
    <n v="90"/>
    <n v="94.2"/>
    <n v="85.6"/>
    <m/>
    <m/>
    <m/>
    <n v="269.79999999999995"/>
  </r>
  <r>
    <x v="300"/>
    <s v="Tallinn"/>
    <x v="0"/>
    <x v="8"/>
    <s v="Individuaalne"/>
    <s v="09.09.23"/>
    <n v="92.5"/>
    <n v="92.4"/>
    <n v="90.7"/>
    <m/>
    <m/>
    <m/>
    <n v="275.60000000000002"/>
  </r>
  <r>
    <x v="301"/>
    <s v="Viru"/>
    <x v="0"/>
    <x v="8"/>
    <s v="Võistkond"/>
    <s v="10.09.23"/>
    <n v="91.5"/>
    <n v="92.5"/>
    <n v="82.4"/>
    <m/>
    <m/>
    <m/>
    <n v="266.39999999999998"/>
  </r>
  <r>
    <x v="302"/>
    <s v="Põlva"/>
    <x v="4"/>
    <x v="8"/>
    <s v="Võistkond"/>
    <s v="10.09.23"/>
    <n v="96.6"/>
    <n v="95.9"/>
    <n v="97.5"/>
    <m/>
    <m/>
    <m/>
    <n v="290"/>
  </r>
  <r>
    <x v="1"/>
    <s v="Alutaguse"/>
    <x v="0"/>
    <x v="9"/>
    <s v="Võistkond"/>
    <s v="09.09.23"/>
    <n v="96"/>
    <n v="95"/>
    <m/>
    <m/>
    <m/>
    <m/>
    <n v="191"/>
  </r>
  <r>
    <x v="4"/>
    <s v="Alutaguse"/>
    <x v="0"/>
    <x v="9"/>
    <s v="Individuaalne"/>
    <s v="09.09.23"/>
    <n v="94"/>
    <n v="95"/>
    <m/>
    <m/>
    <m/>
    <m/>
    <n v="189"/>
  </r>
  <r>
    <x v="303"/>
    <s v="Järva"/>
    <x v="0"/>
    <x v="9"/>
    <s v="Võistkond"/>
    <s v="09.09.23"/>
    <n v="88"/>
    <n v="84"/>
    <m/>
    <m/>
    <m/>
    <m/>
    <n v="172"/>
  </r>
  <r>
    <x v="8"/>
    <s v="Järva"/>
    <x v="0"/>
    <x v="9"/>
    <s v="Individuaalne"/>
    <s v="09.09.23"/>
    <n v="83"/>
    <n v="74"/>
    <m/>
    <m/>
    <m/>
    <m/>
    <n v="157"/>
  </r>
  <r>
    <x v="304"/>
    <s v="KKÜ"/>
    <x v="0"/>
    <x v="9"/>
    <s v="Võistkond"/>
    <s v="09.09.23"/>
    <n v="87"/>
    <n v="89"/>
    <m/>
    <m/>
    <m/>
    <m/>
    <n v="176"/>
  </r>
  <r>
    <x v="17"/>
    <s v="KL peastaap"/>
    <x v="0"/>
    <x v="9"/>
    <s v="Võistkond"/>
    <s v="09.09.23"/>
    <n v="84"/>
    <n v="86"/>
    <m/>
    <m/>
    <m/>
    <m/>
    <n v="170"/>
  </r>
  <r>
    <x v="188"/>
    <s v="Pärnumaa"/>
    <x v="0"/>
    <x v="9"/>
    <s v="Võistkond"/>
    <s v="09.09.23"/>
    <n v="85"/>
    <n v="85"/>
    <m/>
    <m/>
    <m/>
    <m/>
    <n v="170"/>
  </r>
  <r>
    <x v="189"/>
    <s v="Saaremaa"/>
    <x v="0"/>
    <x v="9"/>
    <s v="Võistkond"/>
    <s v="09.09.23"/>
    <n v="81"/>
    <n v="80"/>
    <m/>
    <m/>
    <m/>
    <m/>
    <n v="161"/>
  </r>
  <r>
    <x v="305"/>
    <s v="Tallinn"/>
    <x v="1"/>
    <x v="9"/>
    <s v="Võistkond"/>
    <s v="09.09.23"/>
    <n v="92"/>
    <n v="86"/>
    <m/>
    <m/>
    <m/>
    <m/>
    <n v="178"/>
  </r>
  <r>
    <x v="192"/>
    <s v="Valgamaa"/>
    <x v="0"/>
    <x v="9"/>
    <s v="Võistkond"/>
    <s v="09.09.23"/>
    <n v="68"/>
    <n v="65"/>
    <m/>
    <m/>
    <m/>
    <m/>
    <n v="133"/>
  </r>
  <r>
    <x v="2"/>
    <s v="Alutaguse"/>
    <x v="0"/>
    <x v="9"/>
    <s v="Individuaalne"/>
    <s v="09.09.23"/>
    <n v="90"/>
    <n v="92"/>
    <m/>
    <m/>
    <m/>
    <m/>
    <n v="182"/>
  </r>
  <r>
    <x v="77"/>
    <s v="Alutaguse"/>
    <x v="0"/>
    <x v="9"/>
    <s v="Individuaalne"/>
    <s v="09.09.23"/>
    <n v="87"/>
    <n v="91"/>
    <m/>
    <m/>
    <m/>
    <m/>
    <n v="178"/>
  </r>
  <r>
    <x v="83"/>
    <s v="Tallinn"/>
    <x v="0"/>
    <x v="9"/>
    <s v="Individuaalne"/>
    <s v="09.09.23"/>
    <n v="94"/>
    <n v="94"/>
    <m/>
    <m/>
    <m/>
    <m/>
    <n v="188"/>
  </r>
  <r>
    <x v="85"/>
    <s v="Harju"/>
    <x v="0"/>
    <x v="9"/>
    <s v="Võistkond"/>
    <s v="10.09.23"/>
    <n v="87"/>
    <n v="75"/>
    <m/>
    <m/>
    <m/>
    <m/>
    <n v="162"/>
  </r>
  <r>
    <x v="86"/>
    <s v="Lääne"/>
    <x v="0"/>
    <x v="9"/>
    <s v="Individuaalne"/>
    <s v="10.09.23"/>
    <n v="87"/>
    <n v="77"/>
    <m/>
    <m/>
    <m/>
    <m/>
    <n v="164"/>
  </r>
  <r>
    <x v="45"/>
    <s v="Lääne"/>
    <x v="0"/>
    <x v="9"/>
    <s v="Võistkond"/>
    <s v="10.09.23"/>
    <n v="94"/>
    <n v="87"/>
    <m/>
    <m/>
    <m/>
    <m/>
    <n v="181"/>
  </r>
  <r>
    <x v="50"/>
    <s v="Põlva"/>
    <x v="0"/>
    <x v="9"/>
    <s v="Võistkond"/>
    <s v="10.09.23"/>
    <n v="67"/>
    <n v="62"/>
    <m/>
    <m/>
    <m/>
    <m/>
    <n v="129"/>
  </r>
  <r>
    <x v="306"/>
    <s v="Rapla"/>
    <x v="0"/>
    <x v="9"/>
    <s v="Võistkond"/>
    <s v="10.09.23"/>
    <n v="85"/>
    <n v="83"/>
    <m/>
    <m/>
    <m/>
    <m/>
    <n v="168"/>
  </r>
  <r>
    <x v="58"/>
    <s v="Sakala"/>
    <x v="0"/>
    <x v="9"/>
    <s v="Individuaalne"/>
    <s v="10.09.23"/>
    <n v="47"/>
    <n v="56"/>
    <m/>
    <m/>
    <m/>
    <m/>
    <n v="103"/>
  </r>
  <r>
    <x v="59"/>
    <s v="Sakala"/>
    <x v="0"/>
    <x v="9"/>
    <s v="Võistkond"/>
    <s v="10.09.23"/>
    <n v="37"/>
    <n v="62"/>
    <m/>
    <m/>
    <m/>
    <m/>
    <n v="99"/>
  </r>
  <r>
    <x v="61"/>
    <s v="Tartu"/>
    <x v="0"/>
    <x v="9"/>
    <s v="Võistkond"/>
    <s v="10.09.23"/>
    <n v="91"/>
    <n v="87"/>
    <m/>
    <m/>
    <m/>
    <m/>
    <n v="178"/>
  </r>
  <r>
    <x v="64"/>
    <s v="Tartu"/>
    <x v="0"/>
    <x v="9"/>
    <s v="Individuaalne"/>
    <s v="10.09.23"/>
    <n v="87"/>
    <n v="81"/>
    <m/>
    <m/>
    <m/>
    <m/>
    <n v="168"/>
  </r>
  <r>
    <x v="307"/>
    <s v="Viru"/>
    <x v="0"/>
    <x v="9"/>
    <s v="Võistkond"/>
    <s v="10.09.23"/>
    <n v="85"/>
    <n v="92"/>
    <m/>
    <m/>
    <m/>
    <m/>
    <n v="177"/>
  </r>
  <r>
    <x v="68"/>
    <s v="Võrumaa"/>
    <x v="0"/>
    <x v="9"/>
    <s v="Võistkond"/>
    <s v="10.09.23"/>
    <n v="90"/>
    <n v="89"/>
    <m/>
    <m/>
    <m/>
    <m/>
    <n v="179"/>
  </r>
  <r>
    <x v="94"/>
    <s v="Võrumaa"/>
    <x v="0"/>
    <x v="9"/>
    <s v="Individuaalne"/>
    <s v="10.09.23"/>
    <n v="89"/>
    <n v="88"/>
    <m/>
    <m/>
    <m/>
    <m/>
    <n v="177"/>
  </r>
  <r>
    <x v="308"/>
    <s v="Tallinn"/>
    <x v="0"/>
    <x v="9"/>
    <s v="Individuaalne"/>
    <s v="09.09.23"/>
    <n v="83"/>
    <n v="89"/>
    <m/>
    <m/>
    <m/>
    <m/>
    <n v="172"/>
  </r>
  <r>
    <x v="21"/>
    <s v="Pärnumaa"/>
    <x v="0"/>
    <x v="5"/>
    <s v="Individuaalne"/>
    <s v="09.09.23"/>
    <n v="62"/>
    <n v="71"/>
    <n v="78"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  <r>
    <x v="309"/>
    <m/>
    <x v="6"/>
    <x v="10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">
  <r>
    <s v="Ivar Tallerman"/>
    <x v="0"/>
    <x v="0"/>
    <x v="0"/>
    <x v="0"/>
    <s v="09.09.23"/>
    <n v="98"/>
    <n v="94"/>
    <n v="91"/>
    <m/>
    <m/>
    <m/>
    <n v="283"/>
    <n v="283"/>
  </r>
  <r>
    <s v="Henry Tammann"/>
    <x v="0"/>
    <x v="0"/>
    <x v="0"/>
    <x v="0"/>
    <s v="09.09.23"/>
    <n v="94"/>
    <n v="84"/>
    <n v="88"/>
    <m/>
    <m/>
    <m/>
    <n v="266"/>
    <n v="266"/>
  </r>
  <r>
    <s v="Juss Leinbock"/>
    <x v="0"/>
    <x v="0"/>
    <x v="0"/>
    <x v="0"/>
    <s v="09.09.23"/>
    <n v="97"/>
    <n v="91"/>
    <n v="87"/>
    <m/>
    <m/>
    <m/>
    <n v="275"/>
    <n v="275"/>
  </r>
  <r>
    <s v="Natalja Skvortsova"/>
    <x v="0"/>
    <x v="1"/>
    <x v="0"/>
    <x v="0"/>
    <s v="09.09.23"/>
    <n v="94"/>
    <n v="85"/>
    <n v="56"/>
    <m/>
    <m/>
    <m/>
    <n v="235"/>
    <n v="235"/>
  </r>
  <r>
    <s v="Tanel Oja"/>
    <x v="0"/>
    <x v="0"/>
    <x v="0"/>
    <x v="1"/>
    <s v="09.09.23"/>
    <n v="98"/>
    <n v="93"/>
    <n v="77"/>
    <m/>
    <m/>
    <m/>
    <n v="268"/>
    <m/>
  </r>
  <r>
    <s v="Jekaterina Tihhomirova"/>
    <x v="0"/>
    <x v="1"/>
    <x v="0"/>
    <x v="1"/>
    <s v="09.09.23"/>
    <n v="97"/>
    <n v="92"/>
    <n v="81"/>
    <m/>
    <m/>
    <m/>
    <n v="270"/>
    <m/>
  </r>
  <r>
    <s v="Andres Välli"/>
    <x v="1"/>
    <x v="0"/>
    <x v="0"/>
    <x v="0"/>
    <s v="09.09.23"/>
    <n v="97"/>
    <n v="92"/>
    <n v="89"/>
    <m/>
    <m/>
    <m/>
    <n v="278"/>
    <n v="278"/>
  </r>
  <r>
    <s v="Heli Hiiemäe"/>
    <x v="1"/>
    <x v="1"/>
    <x v="0"/>
    <x v="0"/>
    <s v="09.09.23"/>
    <n v="88"/>
    <n v="78"/>
    <n v="62"/>
    <m/>
    <m/>
    <m/>
    <n v="228"/>
    <n v="228"/>
  </r>
  <r>
    <s v="Allan Anniste"/>
    <x v="1"/>
    <x v="0"/>
    <x v="0"/>
    <x v="0"/>
    <s v="09.09.23"/>
    <n v="96"/>
    <n v="87"/>
    <n v="57"/>
    <m/>
    <m/>
    <m/>
    <n v="240"/>
    <n v="240"/>
  </r>
  <r>
    <s v="Margus Michelson"/>
    <x v="1"/>
    <x v="0"/>
    <x v="0"/>
    <x v="1"/>
    <s v="09.09.23"/>
    <n v="97"/>
    <n v="87"/>
    <n v="86"/>
    <m/>
    <m/>
    <m/>
    <n v="270"/>
    <m/>
  </r>
  <r>
    <s v="Indrek Reismann"/>
    <x v="1"/>
    <x v="0"/>
    <x v="0"/>
    <x v="0"/>
    <s v="09.09.23"/>
    <n v="92"/>
    <n v="90"/>
    <n v="74"/>
    <m/>
    <m/>
    <m/>
    <n v="256"/>
    <n v="256"/>
  </r>
  <r>
    <s v="Lauri Erm"/>
    <x v="2"/>
    <x v="0"/>
    <x v="0"/>
    <x v="0"/>
    <s v="09.09.23"/>
    <n v="95"/>
    <n v="97"/>
    <n v="88"/>
    <m/>
    <m/>
    <m/>
    <n v="280"/>
    <n v="280"/>
  </r>
  <r>
    <s v="Kai Willadsen"/>
    <x v="2"/>
    <x v="0"/>
    <x v="0"/>
    <x v="0"/>
    <s v="09.09.23"/>
    <n v="89"/>
    <n v="75"/>
    <n v="69"/>
    <m/>
    <m/>
    <m/>
    <n v="233"/>
    <n v="233"/>
  </r>
  <r>
    <s v="Martti Raavel"/>
    <x v="2"/>
    <x v="0"/>
    <x v="0"/>
    <x v="0"/>
    <s v="09.09.23"/>
    <n v="96"/>
    <n v="89"/>
    <n v="85"/>
    <m/>
    <m/>
    <m/>
    <n v="270"/>
    <n v="270"/>
  </r>
  <r>
    <s v="Merri Laidma"/>
    <x v="2"/>
    <x v="1"/>
    <x v="0"/>
    <x v="0"/>
    <s v="09.09.23"/>
    <n v="80"/>
    <n v="73"/>
    <n v="65"/>
    <m/>
    <m/>
    <m/>
    <n v="218"/>
    <n v="218"/>
  </r>
  <r>
    <s v="Jaanus Vooremäe"/>
    <x v="2"/>
    <x v="0"/>
    <x v="0"/>
    <x v="1"/>
    <s v="09.09.23"/>
    <n v="88"/>
    <n v="69"/>
    <n v="62"/>
    <m/>
    <m/>
    <m/>
    <n v="219"/>
    <m/>
  </r>
  <r>
    <s v="Kersti Kaare"/>
    <x v="3"/>
    <x v="1"/>
    <x v="0"/>
    <x v="0"/>
    <s v="09.09.23"/>
    <n v="97"/>
    <n v="99"/>
    <n v="92"/>
    <m/>
    <m/>
    <m/>
    <n v="288"/>
    <n v="288"/>
  </r>
  <r>
    <s v="Rasmus Ruusmäe"/>
    <x v="3"/>
    <x v="0"/>
    <x v="0"/>
    <x v="0"/>
    <s v="09.09.23"/>
    <n v="95"/>
    <n v="96"/>
    <n v="78"/>
    <m/>
    <m/>
    <m/>
    <n v="269"/>
    <n v="269"/>
  </r>
  <r>
    <s v="Erik Miido"/>
    <x v="3"/>
    <x v="0"/>
    <x v="0"/>
    <x v="0"/>
    <s v="09.09.23"/>
    <n v="92"/>
    <n v="87"/>
    <n v="79"/>
    <m/>
    <m/>
    <m/>
    <n v="258"/>
    <n v="258"/>
  </r>
  <r>
    <s v="Margus Purlau"/>
    <x v="3"/>
    <x v="0"/>
    <x v="0"/>
    <x v="0"/>
    <s v="09.09.23"/>
    <n v="91"/>
    <n v="85"/>
    <n v="55"/>
    <m/>
    <m/>
    <m/>
    <n v="231"/>
    <n v="231"/>
  </r>
  <r>
    <s v="Aare Väliste"/>
    <x v="4"/>
    <x v="0"/>
    <x v="0"/>
    <x v="0"/>
    <s v="09.09.23"/>
    <n v="96"/>
    <n v="96"/>
    <n v="92"/>
    <m/>
    <m/>
    <m/>
    <n v="284"/>
    <n v="284"/>
  </r>
  <r>
    <s v="Meelis Sinijärv"/>
    <x v="4"/>
    <x v="0"/>
    <x v="0"/>
    <x v="0"/>
    <s v="09.09.23"/>
    <n v="93"/>
    <n v="96"/>
    <n v="79"/>
    <m/>
    <m/>
    <m/>
    <n v="268"/>
    <n v="268"/>
  </r>
  <r>
    <s v="Karin Madisson"/>
    <x v="4"/>
    <x v="1"/>
    <x v="0"/>
    <x v="0"/>
    <s v="09.09.23"/>
    <n v="91"/>
    <n v="73"/>
    <n v="50"/>
    <m/>
    <m/>
    <m/>
    <n v="214"/>
    <n v="214"/>
  </r>
  <r>
    <s v="Kristjan Pahk"/>
    <x v="4"/>
    <x v="0"/>
    <x v="0"/>
    <x v="0"/>
    <s v="09.09.23"/>
    <n v="97"/>
    <n v="87"/>
    <n v="86"/>
    <m/>
    <m/>
    <m/>
    <n v="270"/>
    <n v="270"/>
  </r>
  <r>
    <s v="Aado Toomsalu"/>
    <x v="5"/>
    <x v="0"/>
    <x v="0"/>
    <x v="0"/>
    <s v="09.09.23"/>
    <n v="90"/>
    <n v="90"/>
    <n v="79"/>
    <m/>
    <m/>
    <m/>
    <n v="259"/>
    <n v="259"/>
  </r>
  <r>
    <s v="Neeme Virveste"/>
    <x v="5"/>
    <x v="0"/>
    <x v="0"/>
    <x v="0"/>
    <s v="09.09.23"/>
    <n v="89"/>
    <n v="87"/>
    <n v="86"/>
    <m/>
    <m/>
    <m/>
    <n v="262"/>
    <n v="262"/>
  </r>
  <r>
    <s v="Kert Kreem"/>
    <x v="5"/>
    <x v="0"/>
    <x v="0"/>
    <x v="0"/>
    <s v="09.09.23"/>
    <n v="67"/>
    <n v="67"/>
    <n v="59"/>
    <m/>
    <m/>
    <m/>
    <n v="193"/>
    <n v="193"/>
  </r>
  <r>
    <s v="Kadri Forsström"/>
    <x v="5"/>
    <x v="1"/>
    <x v="0"/>
    <x v="0"/>
    <s v="09.09.23"/>
    <n v="77"/>
    <n v="13"/>
    <n v="30"/>
    <m/>
    <m/>
    <m/>
    <n v="120"/>
    <n v="120"/>
  </r>
  <r>
    <s v="Toomas Niinemäe"/>
    <x v="6"/>
    <x v="0"/>
    <x v="0"/>
    <x v="0"/>
    <s v="09.09.23"/>
    <n v="95"/>
    <n v="89"/>
    <n v="90"/>
    <m/>
    <m/>
    <m/>
    <n v="274"/>
    <n v="274"/>
  </r>
  <r>
    <s v="Ain Muru"/>
    <x v="6"/>
    <x v="0"/>
    <x v="0"/>
    <x v="0"/>
    <s v="09.09.23"/>
    <n v="97"/>
    <n v="90"/>
    <n v="92"/>
    <m/>
    <m/>
    <m/>
    <n v="279"/>
    <n v="279"/>
  </r>
  <r>
    <s v="Ljudmila Kortšagina"/>
    <x v="6"/>
    <x v="1"/>
    <x v="0"/>
    <x v="0"/>
    <s v="09.09.23"/>
    <n v="89"/>
    <n v="93"/>
    <n v="92"/>
    <m/>
    <m/>
    <m/>
    <n v="274"/>
    <n v="274"/>
  </r>
  <r>
    <s v="Janis Aarne"/>
    <x v="6"/>
    <x v="0"/>
    <x v="0"/>
    <x v="0"/>
    <s v="09.09.23"/>
    <n v="98"/>
    <n v="91"/>
    <n v="92"/>
    <m/>
    <m/>
    <m/>
    <n v="281"/>
    <n v="281"/>
  </r>
  <r>
    <s v="Sirle Baldesport-Märss"/>
    <x v="6"/>
    <x v="1"/>
    <x v="0"/>
    <x v="1"/>
    <s v="09.09.23"/>
    <n v="92"/>
    <n v="92"/>
    <n v="92"/>
    <m/>
    <m/>
    <m/>
    <n v="276"/>
    <m/>
  </r>
  <r>
    <s v="Anu Asu"/>
    <x v="6"/>
    <x v="1"/>
    <x v="0"/>
    <x v="1"/>
    <s v="09.09.23"/>
    <n v="88"/>
    <n v="89"/>
    <n v="80"/>
    <m/>
    <m/>
    <m/>
    <n v="257"/>
    <m/>
  </r>
  <r>
    <s v="Kristiina Kivari"/>
    <x v="6"/>
    <x v="1"/>
    <x v="0"/>
    <x v="1"/>
    <s v="09.09.23"/>
    <n v="86"/>
    <n v="85"/>
    <n v="81"/>
    <m/>
    <m/>
    <m/>
    <n v="252"/>
    <m/>
  </r>
  <r>
    <s v="Oksana Leesik"/>
    <x v="7"/>
    <x v="1"/>
    <x v="0"/>
    <x v="0"/>
    <s v="09.09.23"/>
    <n v="95"/>
    <n v="90"/>
    <n v="83"/>
    <m/>
    <m/>
    <m/>
    <n v="268"/>
    <n v="268"/>
  </r>
  <r>
    <s v="Eha Valdna"/>
    <x v="8"/>
    <x v="1"/>
    <x v="0"/>
    <x v="0"/>
    <s v="09.09.23"/>
    <n v="91"/>
    <n v="77"/>
    <n v="90"/>
    <m/>
    <m/>
    <m/>
    <n v="258"/>
    <n v="258"/>
  </r>
  <r>
    <s v="Kardo Merivald"/>
    <x v="6"/>
    <x v="0"/>
    <x v="0"/>
    <x v="1"/>
    <s v="09.09.23"/>
    <n v="93"/>
    <n v="89"/>
    <n v="86"/>
    <m/>
    <m/>
    <m/>
    <n v="268"/>
    <m/>
  </r>
  <r>
    <s v="Aivar Liivrand"/>
    <x v="9"/>
    <x v="0"/>
    <x v="0"/>
    <x v="0"/>
    <s v="10.09.23"/>
    <n v="92"/>
    <n v="89"/>
    <n v="91"/>
    <m/>
    <m/>
    <m/>
    <n v="272"/>
    <n v="272"/>
  </r>
  <r>
    <s v="Kristi Mets"/>
    <x v="9"/>
    <x v="1"/>
    <x v="0"/>
    <x v="0"/>
    <s v="10.09.23"/>
    <n v="76"/>
    <n v="71"/>
    <n v="60"/>
    <m/>
    <m/>
    <m/>
    <n v="207"/>
    <n v="207"/>
  </r>
  <r>
    <s v="Meelis Pallo"/>
    <x v="9"/>
    <x v="0"/>
    <x v="0"/>
    <x v="0"/>
    <s v="10.09.23"/>
    <n v="87"/>
    <n v="83"/>
    <n v="84"/>
    <m/>
    <m/>
    <m/>
    <n v="254"/>
    <n v="254"/>
  </r>
  <r>
    <s v="Margus Kana"/>
    <x v="9"/>
    <x v="0"/>
    <x v="0"/>
    <x v="0"/>
    <s v="10.09.23"/>
    <n v="95"/>
    <n v="84"/>
    <n v="70"/>
    <m/>
    <m/>
    <m/>
    <n v="249"/>
    <n v="249"/>
  </r>
  <r>
    <s v="Andri Tenson"/>
    <x v="10"/>
    <x v="0"/>
    <x v="0"/>
    <x v="0"/>
    <s v="10.09.23"/>
    <n v="90"/>
    <n v="76"/>
    <n v="44"/>
    <m/>
    <m/>
    <m/>
    <n v="210"/>
    <n v="210"/>
  </r>
  <r>
    <s v="Irina Fišina"/>
    <x v="10"/>
    <x v="1"/>
    <x v="0"/>
    <x v="0"/>
    <s v="10.09.23"/>
    <n v="97"/>
    <n v="88"/>
    <n v="70"/>
    <m/>
    <m/>
    <m/>
    <n v="255"/>
    <n v="255"/>
  </r>
  <r>
    <s v="Martin Valk"/>
    <x v="10"/>
    <x v="0"/>
    <x v="0"/>
    <x v="0"/>
    <s v="10.09.23"/>
    <n v="91"/>
    <n v="85"/>
    <n v="72"/>
    <m/>
    <m/>
    <m/>
    <n v="248"/>
    <n v="248"/>
  </r>
  <r>
    <s v="Siim Jeeberg"/>
    <x v="10"/>
    <x v="0"/>
    <x v="0"/>
    <x v="1"/>
    <s v="10.09.23"/>
    <n v="98"/>
    <n v="92"/>
    <n v="92"/>
    <m/>
    <m/>
    <m/>
    <n v="282"/>
    <m/>
  </r>
  <r>
    <s v="Rainis Kukispuu"/>
    <x v="10"/>
    <x v="0"/>
    <x v="0"/>
    <x v="0"/>
    <s v="10.09.23"/>
    <n v="92"/>
    <n v="88"/>
    <n v="72"/>
    <m/>
    <m/>
    <m/>
    <n v="252"/>
    <n v="252"/>
  </r>
  <r>
    <s v="Sigrid Lutsar"/>
    <x v="11"/>
    <x v="0"/>
    <x v="0"/>
    <x v="0"/>
    <s v="10.09.23"/>
    <n v="85"/>
    <n v="86"/>
    <n v="66"/>
    <m/>
    <m/>
    <m/>
    <n v="237"/>
    <n v="237"/>
  </r>
  <r>
    <s v="Katrin Arulepp"/>
    <x v="11"/>
    <x v="1"/>
    <x v="0"/>
    <x v="0"/>
    <s v="10.09.23"/>
    <n v="89"/>
    <n v="60"/>
    <n v="66"/>
    <m/>
    <m/>
    <m/>
    <n v="215"/>
    <n v="215"/>
  </r>
  <r>
    <s v="Ragnar Joosep"/>
    <x v="11"/>
    <x v="0"/>
    <x v="0"/>
    <x v="0"/>
    <s v="10.09.23"/>
    <n v="94"/>
    <n v="92"/>
    <n v="74"/>
    <m/>
    <m/>
    <m/>
    <n v="260"/>
    <n v="260"/>
  </r>
  <r>
    <s v="Kristjan Raudnagel"/>
    <x v="11"/>
    <x v="0"/>
    <x v="0"/>
    <x v="0"/>
    <s v="10.09.23"/>
    <n v="88"/>
    <n v="91"/>
    <n v="87"/>
    <m/>
    <m/>
    <m/>
    <n v="266"/>
    <n v="266"/>
  </r>
  <r>
    <s v="Susanna Sule"/>
    <x v="12"/>
    <x v="1"/>
    <x v="0"/>
    <x v="0"/>
    <s v="10.09.23"/>
    <n v="87"/>
    <n v="88"/>
    <n v="87"/>
    <m/>
    <m/>
    <m/>
    <n v="262"/>
    <n v="262"/>
  </r>
  <r>
    <s v="Andres Ansip"/>
    <x v="12"/>
    <x v="0"/>
    <x v="0"/>
    <x v="0"/>
    <s v="10.09.23"/>
    <n v="84"/>
    <n v="83"/>
    <n v="82"/>
    <m/>
    <m/>
    <m/>
    <n v="249"/>
    <n v="249"/>
  </r>
  <r>
    <s v="Vassili Stepanov"/>
    <x v="12"/>
    <x v="0"/>
    <x v="0"/>
    <x v="0"/>
    <s v="10.09.23"/>
    <n v="90"/>
    <n v="81"/>
    <n v="64"/>
    <m/>
    <m/>
    <m/>
    <n v="235"/>
    <n v="235"/>
  </r>
  <r>
    <s v="Siim Illopmägi"/>
    <x v="12"/>
    <x v="0"/>
    <x v="0"/>
    <x v="0"/>
    <s v="10.09.23"/>
    <n v="93"/>
    <n v="92"/>
    <n v="88"/>
    <m/>
    <m/>
    <m/>
    <n v="273"/>
    <n v="273"/>
  </r>
  <r>
    <s v="Markko Aarne"/>
    <x v="13"/>
    <x v="0"/>
    <x v="0"/>
    <x v="1"/>
    <s v="10.09.23"/>
    <n v="94"/>
    <n v="91"/>
    <n v="86"/>
    <m/>
    <m/>
    <m/>
    <n v="271"/>
    <m/>
  </r>
  <r>
    <s v="Ivar Siidirätsep"/>
    <x v="13"/>
    <x v="0"/>
    <x v="0"/>
    <x v="0"/>
    <s v="10.09.23"/>
    <n v="94"/>
    <n v="92"/>
    <n v="83"/>
    <m/>
    <m/>
    <m/>
    <n v="269"/>
    <n v="269"/>
  </r>
  <r>
    <s v="Evelin Lappalainen"/>
    <x v="13"/>
    <x v="1"/>
    <x v="0"/>
    <x v="0"/>
    <s v="10.09.23"/>
    <n v="80"/>
    <n v="64"/>
    <n v="69"/>
    <m/>
    <m/>
    <m/>
    <n v="213"/>
    <n v="213"/>
  </r>
  <r>
    <s v="Sören Silm"/>
    <x v="13"/>
    <x v="0"/>
    <x v="0"/>
    <x v="0"/>
    <s v="10.09.23"/>
    <n v="87"/>
    <n v="88"/>
    <n v="66"/>
    <m/>
    <m/>
    <m/>
    <n v="241"/>
    <n v="241"/>
  </r>
  <r>
    <s v="Andrus Keerd"/>
    <x v="13"/>
    <x v="0"/>
    <x v="0"/>
    <x v="0"/>
    <s v="10.09.23"/>
    <n v="63"/>
    <n v="39"/>
    <n v="35"/>
    <m/>
    <m/>
    <m/>
    <n v="137"/>
    <n v="137"/>
  </r>
  <r>
    <s v="Liis Kruuse"/>
    <x v="14"/>
    <x v="1"/>
    <x v="0"/>
    <x v="0"/>
    <s v="10.09.23"/>
    <n v="95"/>
    <n v="93"/>
    <n v="75"/>
    <m/>
    <m/>
    <m/>
    <n v="263"/>
    <n v="263"/>
  </r>
  <r>
    <s v="Ülar Laaneoja"/>
    <x v="14"/>
    <x v="0"/>
    <x v="0"/>
    <x v="0"/>
    <s v="10.09.23"/>
    <n v="91"/>
    <n v="89"/>
    <n v="79"/>
    <m/>
    <m/>
    <m/>
    <n v="259"/>
    <n v="259"/>
  </r>
  <r>
    <s v="Erik Aadusoo"/>
    <x v="14"/>
    <x v="0"/>
    <x v="0"/>
    <x v="0"/>
    <s v="10.09.23"/>
    <n v="91"/>
    <n v="92"/>
    <n v="82"/>
    <m/>
    <m/>
    <m/>
    <n v="265"/>
    <n v="265"/>
  </r>
  <r>
    <s v="Olavi Kask"/>
    <x v="14"/>
    <x v="0"/>
    <x v="0"/>
    <x v="1"/>
    <s v="10.09.23"/>
    <n v="90"/>
    <n v="72"/>
    <n v="66"/>
    <m/>
    <m/>
    <m/>
    <n v="228"/>
    <m/>
  </r>
  <r>
    <s v="Daimar Elp"/>
    <x v="14"/>
    <x v="0"/>
    <x v="0"/>
    <x v="0"/>
    <s v="10.09.23"/>
    <n v="91"/>
    <n v="92"/>
    <n v="96"/>
    <m/>
    <m/>
    <m/>
    <n v="279"/>
    <n v="279"/>
  </r>
  <r>
    <s v="Taivo Eylandt"/>
    <x v="8"/>
    <x v="0"/>
    <x v="0"/>
    <x v="0"/>
    <s v="10.09.23"/>
    <n v="95"/>
    <n v="90"/>
    <n v="85"/>
    <m/>
    <m/>
    <m/>
    <n v="270"/>
    <n v="270"/>
  </r>
  <r>
    <s v="Aleksei Osokin"/>
    <x v="8"/>
    <x v="0"/>
    <x v="0"/>
    <x v="0"/>
    <s v="10.09.23"/>
    <n v="96"/>
    <n v="90"/>
    <n v="83"/>
    <m/>
    <m/>
    <m/>
    <n v="269"/>
    <n v="269"/>
  </r>
  <r>
    <s v="Vahur Saaremets"/>
    <x v="8"/>
    <x v="0"/>
    <x v="0"/>
    <x v="0"/>
    <s v="10.09.23"/>
    <n v="96"/>
    <n v="93"/>
    <n v="87"/>
    <m/>
    <m/>
    <m/>
    <n v="276"/>
    <n v="276"/>
  </r>
  <r>
    <s v="Jaanus Kala"/>
    <x v="15"/>
    <x v="0"/>
    <x v="0"/>
    <x v="0"/>
    <s v="10.09.23"/>
    <n v="95"/>
    <n v="96"/>
    <n v="88"/>
    <m/>
    <m/>
    <m/>
    <n v="279"/>
    <n v="279"/>
  </r>
  <r>
    <s v="Aigar Truija"/>
    <x v="15"/>
    <x v="0"/>
    <x v="0"/>
    <x v="0"/>
    <s v="10.09.23"/>
    <n v="87"/>
    <n v="57"/>
    <n v="76"/>
    <m/>
    <m/>
    <m/>
    <n v="220"/>
    <n v="220"/>
  </r>
  <r>
    <s v="Peeter Tuusis"/>
    <x v="15"/>
    <x v="0"/>
    <x v="0"/>
    <x v="0"/>
    <s v="10.09.23"/>
    <n v="81"/>
    <n v="75"/>
    <n v="63"/>
    <m/>
    <m/>
    <m/>
    <n v="219"/>
    <n v="219"/>
  </r>
  <r>
    <s v="Laura Lees"/>
    <x v="15"/>
    <x v="1"/>
    <x v="0"/>
    <x v="0"/>
    <s v="10.09.23"/>
    <n v="71"/>
    <n v="57"/>
    <n v="56"/>
    <m/>
    <m/>
    <m/>
    <n v="184"/>
    <n v="184"/>
  </r>
  <r>
    <s v="Rivo Poltimäe"/>
    <x v="15"/>
    <x v="0"/>
    <x v="0"/>
    <x v="1"/>
    <s v="10.09.23"/>
    <n v="90"/>
    <n v="90"/>
    <n v="83"/>
    <m/>
    <m/>
    <m/>
    <n v="263"/>
    <m/>
  </r>
  <r>
    <s v="Ruth Maadla"/>
    <x v="15"/>
    <x v="1"/>
    <x v="0"/>
    <x v="1"/>
    <s v="10.09.23"/>
    <n v="62"/>
    <n v="87"/>
    <n v="63"/>
    <m/>
    <m/>
    <m/>
    <n v="212"/>
    <m/>
  </r>
  <r>
    <s v="Sergei Rjabõškin"/>
    <x v="6"/>
    <x v="0"/>
    <x v="0"/>
    <x v="1"/>
    <s v="09.09.23"/>
    <n v="87"/>
    <n v="86"/>
    <n v="84"/>
    <m/>
    <m/>
    <m/>
    <n v="257"/>
    <m/>
  </r>
  <r>
    <s v="Margus Riso"/>
    <x v="9"/>
    <x v="0"/>
    <x v="0"/>
    <x v="1"/>
    <s v="10.09.23"/>
    <n v="88"/>
    <n v="94"/>
    <n v="88"/>
    <m/>
    <m/>
    <m/>
    <n v="270"/>
    <m/>
  </r>
  <r>
    <s v="Anne Kull"/>
    <x v="10"/>
    <x v="1"/>
    <x v="0"/>
    <x v="1"/>
    <s v="10.09.23"/>
    <n v="97"/>
    <n v="89"/>
    <n v="67"/>
    <m/>
    <m/>
    <m/>
    <n v="253"/>
    <m/>
  </r>
  <r>
    <s v="Juss Leinbock"/>
    <x v="0"/>
    <x v="0"/>
    <x v="1"/>
    <x v="0"/>
    <s v="09.09.23"/>
    <n v="89"/>
    <n v="74"/>
    <m/>
    <m/>
    <m/>
    <m/>
    <n v="163"/>
    <n v="244.5"/>
  </r>
  <r>
    <s v="Tambet Leinbock"/>
    <x v="0"/>
    <x v="0"/>
    <x v="1"/>
    <x v="1"/>
    <s v="09.09.23"/>
    <n v="90"/>
    <n v="84"/>
    <m/>
    <m/>
    <m/>
    <m/>
    <n v="174"/>
    <m/>
  </r>
  <r>
    <s v="Jürgen Kaas"/>
    <x v="1"/>
    <x v="0"/>
    <x v="1"/>
    <x v="0"/>
    <s v="09.09.23"/>
    <n v="72"/>
    <n v="69"/>
    <m/>
    <m/>
    <m/>
    <m/>
    <n v="141"/>
    <n v="211.5"/>
  </r>
  <r>
    <s v="Allan Anniste"/>
    <x v="1"/>
    <x v="0"/>
    <x v="1"/>
    <x v="1"/>
    <s v="09.09.23"/>
    <n v="70"/>
    <n v="53"/>
    <m/>
    <m/>
    <m/>
    <m/>
    <n v="123"/>
    <m/>
  </r>
  <r>
    <s v="Jaan Jänesmäe"/>
    <x v="2"/>
    <x v="0"/>
    <x v="1"/>
    <x v="1"/>
    <s v="09.09.23"/>
    <n v="53"/>
    <n v="66"/>
    <m/>
    <m/>
    <m/>
    <m/>
    <n v="119"/>
    <m/>
  </r>
  <r>
    <s v="Jaanus Vooremäe"/>
    <x v="2"/>
    <x v="0"/>
    <x v="1"/>
    <x v="0"/>
    <s v="09.09.23"/>
    <n v="67"/>
    <n v="60"/>
    <m/>
    <m/>
    <m/>
    <m/>
    <n v="127"/>
    <n v="190.5"/>
  </r>
  <r>
    <s v="Meelis Unt"/>
    <x v="3"/>
    <x v="0"/>
    <x v="1"/>
    <x v="0"/>
    <s v="09.09.23"/>
    <n v="76"/>
    <n v="59"/>
    <m/>
    <m/>
    <m/>
    <m/>
    <n v="135"/>
    <n v="202.5"/>
  </r>
  <r>
    <s v="Priit Avarmaa"/>
    <x v="4"/>
    <x v="0"/>
    <x v="1"/>
    <x v="0"/>
    <s v="09.09.23"/>
    <n v="87"/>
    <n v="79"/>
    <m/>
    <m/>
    <m/>
    <m/>
    <n v="166"/>
    <n v="249"/>
  </r>
  <r>
    <s v="Ülar Jürviste"/>
    <x v="5"/>
    <x v="0"/>
    <x v="1"/>
    <x v="0"/>
    <s v="09.09.23"/>
    <n v="77"/>
    <n v="64"/>
    <m/>
    <m/>
    <m/>
    <m/>
    <n v="141"/>
    <n v="211.5"/>
  </r>
  <r>
    <s v="Janis Aarne"/>
    <x v="6"/>
    <x v="0"/>
    <x v="1"/>
    <x v="1"/>
    <s v="09.09.23"/>
    <n v="93"/>
    <n v="86"/>
    <m/>
    <m/>
    <m/>
    <m/>
    <n v="179"/>
    <m/>
  </r>
  <r>
    <s v="Fred Raukas"/>
    <x v="6"/>
    <x v="0"/>
    <x v="1"/>
    <x v="0"/>
    <s v="09.09.23"/>
    <n v="95"/>
    <n v="89"/>
    <m/>
    <m/>
    <m/>
    <m/>
    <n v="184"/>
    <n v="276"/>
  </r>
  <r>
    <s v="Aili Popp"/>
    <x v="7"/>
    <x v="1"/>
    <x v="1"/>
    <x v="0"/>
    <s v="09.09.23"/>
    <n v="95"/>
    <n v="91"/>
    <m/>
    <m/>
    <m/>
    <m/>
    <n v="186"/>
    <n v="279"/>
  </r>
  <r>
    <s v="Tarmo Juurak"/>
    <x v="9"/>
    <x v="0"/>
    <x v="1"/>
    <x v="0"/>
    <s v="10.09.23"/>
    <n v="83"/>
    <n v="60"/>
    <m/>
    <m/>
    <m/>
    <m/>
    <n v="143"/>
    <n v="214.5"/>
  </r>
  <r>
    <s v="Marko Ender"/>
    <x v="10"/>
    <x v="0"/>
    <x v="1"/>
    <x v="0"/>
    <s v="10.09.23"/>
    <n v="84"/>
    <n v="78"/>
    <m/>
    <m/>
    <m/>
    <m/>
    <n v="162"/>
    <n v="243"/>
  </r>
  <r>
    <s v="Siim Jeeberg"/>
    <x v="10"/>
    <x v="0"/>
    <x v="1"/>
    <x v="1"/>
    <s v="10.09.23"/>
    <n v="85"/>
    <n v="89"/>
    <m/>
    <m/>
    <m/>
    <m/>
    <n v="174"/>
    <m/>
  </r>
  <r>
    <s v="Margus Palolill"/>
    <x v="11"/>
    <x v="0"/>
    <x v="1"/>
    <x v="0"/>
    <s v="10.09.23"/>
    <n v="82"/>
    <n v="85"/>
    <m/>
    <m/>
    <m/>
    <m/>
    <n v="167"/>
    <n v="250.5"/>
  </r>
  <r>
    <s v="Ele Lehes"/>
    <x v="13"/>
    <x v="1"/>
    <x v="1"/>
    <x v="0"/>
    <s v="10.09.23"/>
    <n v="74"/>
    <n v="64"/>
    <m/>
    <m/>
    <m/>
    <m/>
    <n v="138"/>
    <n v="207"/>
  </r>
  <r>
    <s v="Eik Erich Tahk"/>
    <x v="13"/>
    <x v="1"/>
    <x v="1"/>
    <x v="1"/>
    <s v="10.09.23"/>
    <n v="51"/>
    <n v="54"/>
    <m/>
    <m/>
    <m/>
    <m/>
    <n v="105"/>
    <m/>
  </r>
  <r>
    <s v="Sören Silm"/>
    <x v="13"/>
    <x v="0"/>
    <x v="1"/>
    <x v="1"/>
    <s v="10.09.23"/>
    <n v="69"/>
    <n v="61"/>
    <m/>
    <m/>
    <m/>
    <m/>
    <n v="130"/>
    <m/>
  </r>
  <r>
    <s v="Ülar Laaneoja"/>
    <x v="14"/>
    <x v="0"/>
    <x v="1"/>
    <x v="1"/>
    <s v="10.09.23"/>
    <n v="80"/>
    <n v="91"/>
    <m/>
    <m/>
    <m/>
    <m/>
    <n v="171"/>
    <m/>
  </r>
  <r>
    <s v="Reijo Virolainen"/>
    <x v="14"/>
    <x v="0"/>
    <x v="1"/>
    <x v="1"/>
    <s v="10.09.23"/>
    <n v="74"/>
    <n v="84"/>
    <m/>
    <m/>
    <m/>
    <m/>
    <n v="158"/>
    <m/>
  </r>
  <r>
    <s v="Liis Kruuse"/>
    <x v="14"/>
    <x v="1"/>
    <x v="1"/>
    <x v="1"/>
    <s v="10.09.23"/>
    <n v="84"/>
    <n v="78"/>
    <m/>
    <m/>
    <m/>
    <m/>
    <n v="162"/>
    <m/>
  </r>
  <r>
    <s v="Jaanus Roos"/>
    <x v="14"/>
    <x v="0"/>
    <x v="1"/>
    <x v="0"/>
    <s v="10.09.23"/>
    <n v="88"/>
    <n v="81"/>
    <m/>
    <m/>
    <m/>
    <m/>
    <n v="169"/>
    <n v="253.5"/>
  </r>
  <r>
    <s v="Peeter Pops"/>
    <x v="8"/>
    <x v="0"/>
    <x v="1"/>
    <x v="0"/>
    <s v="10.09.23"/>
    <n v="73"/>
    <n v="73"/>
    <m/>
    <m/>
    <m/>
    <m/>
    <n v="146"/>
    <n v="219"/>
  </r>
  <r>
    <s v="Mikk Mustmaa"/>
    <x v="15"/>
    <x v="0"/>
    <x v="1"/>
    <x v="0"/>
    <s v="10.09.23"/>
    <n v="69"/>
    <n v="72"/>
    <m/>
    <m/>
    <m/>
    <m/>
    <n v="141"/>
    <n v="211.5"/>
  </r>
  <r>
    <s v="Aigar Truija"/>
    <x v="15"/>
    <x v="0"/>
    <x v="1"/>
    <x v="1"/>
    <s v="10.09.23"/>
    <n v="70"/>
    <n v="51"/>
    <m/>
    <m/>
    <m/>
    <m/>
    <n v="121"/>
    <m/>
  </r>
  <r>
    <s v="Veiko Park"/>
    <x v="15"/>
    <x v="0"/>
    <x v="1"/>
    <x v="1"/>
    <s v="10.09.23"/>
    <n v="74"/>
    <n v="66"/>
    <m/>
    <m/>
    <m/>
    <m/>
    <n v="140"/>
    <m/>
  </r>
  <r>
    <s v="Henry Tammann"/>
    <x v="0"/>
    <x v="0"/>
    <x v="1"/>
    <x v="1"/>
    <s v="09.09.23"/>
    <n v="87"/>
    <n v="63"/>
    <m/>
    <m/>
    <m/>
    <m/>
    <n v="150"/>
    <m/>
  </r>
  <r>
    <s v="Eero Säde"/>
    <x v="6"/>
    <x v="0"/>
    <x v="1"/>
    <x v="1"/>
    <s v="09.09.23"/>
    <n v="84"/>
    <n v="88"/>
    <m/>
    <m/>
    <m/>
    <m/>
    <n v="172"/>
    <m/>
  </r>
  <r>
    <s v="Anne Kull"/>
    <x v="10"/>
    <x v="1"/>
    <x v="1"/>
    <x v="1"/>
    <s v="10.09.23"/>
    <n v="80"/>
    <n v="89"/>
    <m/>
    <m/>
    <m/>
    <m/>
    <n v="169"/>
    <m/>
  </r>
  <r>
    <s v="Meelis Liiv"/>
    <x v="12"/>
    <x v="0"/>
    <x v="1"/>
    <x v="0"/>
    <s v="10.09.23"/>
    <n v="33"/>
    <n v="40"/>
    <m/>
    <m/>
    <m/>
    <m/>
    <n v="73"/>
    <n v="109.5"/>
  </r>
  <r>
    <s v="Daimar Elp"/>
    <x v="14"/>
    <x v="0"/>
    <x v="1"/>
    <x v="1"/>
    <s v="10.09.23"/>
    <n v="77"/>
    <n v="64"/>
    <m/>
    <m/>
    <m/>
    <m/>
    <n v="141"/>
    <m/>
  </r>
  <r>
    <s v="Erik Aadusoo"/>
    <x v="14"/>
    <x v="0"/>
    <x v="1"/>
    <x v="1"/>
    <s v="10.09.23"/>
    <n v="75"/>
    <n v="71"/>
    <m/>
    <m/>
    <m/>
    <m/>
    <n v="146"/>
    <m/>
  </r>
  <r>
    <s v="Olavi Kask"/>
    <x v="14"/>
    <x v="0"/>
    <x v="1"/>
    <x v="1"/>
    <s v="10.09.23"/>
    <n v="77"/>
    <n v="76"/>
    <m/>
    <m/>
    <m/>
    <m/>
    <n v="153"/>
    <m/>
  </r>
  <r>
    <s v="Vladislav Grigorjev"/>
    <x v="0"/>
    <x v="2"/>
    <x v="2"/>
    <x v="0"/>
    <s v="09.09.23"/>
    <n v="88"/>
    <n v="90"/>
    <n v="86"/>
    <n v="86"/>
    <n v="90"/>
    <n v="89"/>
    <n v="529"/>
    <n v="264.5"/>
  </r>
  <r>
    <s v="Kristina Polunina"/>
    <x v="0"/>
    <x v="1"/>
    <x v="2"/>
    <x v="0"/>
    <s v="09.09.23"/>
    <n v="90"/>
    <n v="89"/>
    <n v="91"/>
    <n v="94"/>
    <n v="85"/>
    <n v="92"/>
    <n v="541"/>
    <n v="270.5"/>
  </r>
  <r>
    <s v="Lepo Jonuks"/>
    <x v="1"/>
    <x v="2"/>
    <x v="2"/>
    <x v="0"/>
    <s v="09.09.23"/>
    <n v="83"/>
    <n v="89"/>
    <n v="88"/>
    <n v="95"/>
    <n v="94"/>
    <n v="93"/>
    <n v="542"/>
    <n v="271"/>
  </r>
  <r>
    <s v="Kristina Kiisk"/>
    <x v="1"/>
    <x v="1"/>
    <x v="2"/>
    <x v="0"/>
    <s v="09.09.23"/>
    <n v="95"/>
    <n v="95"/>
    <n v="94"/>
    <n v="96"/>
    <n v="90"/>
    <n v="92"/>
    <n v="562"/>
    <n v="281"/>
  </r>
  <r>
    <s v="Mari-Anne Meister"/>
    <x v="2"/>
    <x v="1"/>
    <x v="2"/>
    <x v="0"/>
    <s v="09.09.23"/>
    <n v="74"/>
    <n v="81"/>
    <n v="81"/>
    <n v="21"/>
    <n v="50"/>
    <n v="48"/>
    <n v="355"/>
    <n v="177.5"/>
  </r>
  <r>
    <s v="Ülar Jürviste"/>
    <x v="5"/>
    <x v="0"/>
    <x v="2"/>
    <x v="0"/>
    <s v="09.09.23"/>
    <n v="75"/>
    <n v="86"/>
    <n v="79"/>
    <n v="54"/>
    <n v="47"/>
    <n v="56"/>
    <n v="397"/>
    <n v="198.5"/>
  </r>
  <r>
    <s v="Ragnar Puio"/>
    <x v="6"/>
    <x v="2"/>
    <x v="2"/>
    <x v="1"/>
    <s v="09.09.23"/>
    <n v="92"/>
    <n v="91"/>
    <n v="91"/>
    <n v="89"/>
    <n v="93"/>
    <n v="92"/>
    <n v="548"/>
    <m/>
  </r>
  <r>
    <s v="Anne-Mai Nahk"/>
    <x v="6"/>
    <x v="1"/>
    <x v="2"/>
    <x v="0"/>
    <s v="09.09.23"/>
    <n v="91"/>
    <n v="87"/>
    <n v="90"/>
    <n v="90"/>
    <n v="91"/>
    <n v="90"/>
    <n v="539"/>
    <n v="269.5"/>
  </r>
  <r>
    <s v="Meelis Lehtpuu"/>
    <x v="6"/>
    <x v="0"/>
    <x v="2"/>
    <x v="1"/>
    <s v="09.09.23"/>
    <n v="92"/>
    <n v="93"/>
    <n v="90"/>
    <n v="94"/>
    <n v="97"/>
    <n v="98"/>
    <n v="564"/>
    <m/>
  </r>
  <r>
    <s v="Aleksandr Voronin"/>
    <x v="7"/>
    <x v="0"/>
    <x v="2"/>
    <x v="0"/>
    <s v="09.09.23"/>
    <n v="88"/>
    <n v="96"/>
    <n v="92"/>
    <m/>
    <m/>
    <m/>
    <n v="276"/>
    <n v="138"/>
  </r>
  <r>
    <s v="Toomas Juksaar"/>
    <x v="4"/>
    <x v="0"/>
    <x v="2"/>
    <x v="0"/>
    <s v="09.09.23"/>
    <n v="0"/>
    <n v="0"/>
    <n v="0"/>
    <n v="92"/>
    <n v="93"/>
    <n v="83"/>
    <n v="268"/>
    <n v="134"/>
  </r>
  <r>
    <s v="Tiia Künnap"/>
    <x v="4"/>
    <x v="1"/>
    <x v="2"/>
    <x v="0"/>
    <s v="09.09.23"/>
    <n v="0"/>
    <n v="0"/>
    <n v="0"/>
    <n v="50"/>
    <n v="65"/>
    <n v="75"/>
    <n v="190"/>
    <n v="95"/>
  </r>
  <r>
    <s v="Kaire Taar"/>
    <x v="9"/>
    <x v="1"/>
    <x v="2"/>
    <x v="0"/>
    <s v="10.09.23"/>
    <n v="86"/>
    <n v="91"/>
    <n v="92"/>
    <n v="79"/>
    <n v="91"/>
    <n v="81"/>
    <n v="520"/>
    <n v="260"/>
  </r>
  <r>
    <s v="Ariko Astra"/>
    <x v="10"/>
    <x v="0"/>
    <x v="2"/>
    <x v="0"/>
    <s v="10.09.23"/>
    <n v="84"/>
    <n v="86"/>
    <n v="87"/>
    <n v="70"/>
    <n v="77"/>
    <n v="65"/>
    <n v="469"/>
    <n v="234.5"/>
  </r>
  <r>
    <s v="Triin Kuusik"/>
    <x v="10"/>
    <x v="1"/>
    <x v="2"/>
    <x v="0"/>
    <s v="10.09.23"/>
    <n v="94"/>
    <n v="99"/>
    <n v="95"/>
    <n v="93"/>
    <n v="92"/>
    <n v="95"/>
    <n v="568"/>
    <n v="284"/>
  </r>
  <r>
    <s v="Enriko Lutsar"/>
    <x v="11"/>
    <x v="0"/>
    <x v="2"/>
    <x v="0"/>
    <s v="10.09.23"/>
    <n v="77"/>
    <n v="77"/>
    <n v="76"/>
    <n v="61"/>
    <n v="60"/>
    <n v="51"/>
    <n v="402"/>
    <n v="201"/>
  </r>
  <r>
    <s v="Maive Tõemäe"/>
    <x v="11"/>
    <x v="1"/>
    <x v="2"/>
    <x v="0"/>
    <s v="10.09.23"/>
    <n v="75"/>
    <n v="78"/>
    <n v="83"/>
    <n v="56"/>
    <n v="65"/>
    <n v="69"/>
    <n v="426"/>
    <n v="213"/>
  </r>
  <r>
    <s v="Henri Söönurm"/>
    <x v="12"/>
    <x v="0"/>
    <x v="2"/>
    <x v="0"/>
    <s v="10.09.23"/>
    <n v="89"/>
    <n v="88"/>
    <n v="81"/>
    <n v="88"/>
    <n v="77"/>
    <n v="66"/>
    <n v="489"/>
    <n v="244.5"/>
  </r>
  <r>
    <s v="Triin Tähtla"/>
    <x v="12"/>
    <x v="1"/>
    <x v="2"/>
    <x v="0"/>
    <s v="10.09.23"/>
    <n v="94"/>
    <n v="92"/>
    <n v="89"/>
    <n v="93"/>
    <n v="91"/>
    <n v="99"/>
    <n v="558"/>
    <n v="279"/>
  </r>
  <r>
    <s v="Reijo Virolainen"/>
    <x v="14"/>
    <x v="0"/>
    <x v="2"/>
    <x v="0"/>
    <s v="10.09.23"/>
    <n v="98"/>
    <n v="98"/>
    <n v="99"/>
    <n v="97"/>
    <n v="99"/>
    <n v="98"/>
    <n v="589"/>
    <n v="294.5"/>
  </r>
  <r>
    <s v="Lisell Väljak"/>
    <x v="14"/>
    <x v="3"/>
    <x v="2"/>
    <x v="0"/>
    <s v="10.09.23"/>
    <n v="84"/>
    <n v="82"/>
    <n v="94"/>
    <n v="71"/>
    <n v="77"/>
    <n v="90"/>
    <n v="498"/>
    <n v="249"/>
  </r>
  <r>
    <s v="Jaanus Raidlo"/>
    <x v="8"/>
    <x v="0"/>
    <x v="2"/>
    <x v="0"/>
    <s v="10.09.23"/>
    <n v="90"/>
    <n v="85"/>
    <n v="91"/>
    <n v="97"/>
    <n v="90"/>
    <n v="90"/>
    <n v="543"/>
    <n v="271.5"/>
  </r>
  <r>
    <s v="Inga Niit"/>
    <x v="15"/>
    <x v="1"/>
    <x v="2"/>
    <x v="0"/>
    <s v="10.09.23"/>
    <n v="66"/>
    <n v="75"/>
    <n v="72"/>
    <n v="36"/>
    <n v="29"/>
    <n v="21"/>
    <n v="299"/>
    <n v="149.5"/>
  </r>
  <r>
    <s v="Indrek Hunt"/>
    <x v="15"/>
    <x v="0"/>
    <x v="2"/>
    <x v="0"/>
    <s v="10.09.23"/>
    <n v="79"/>
    <n v="89"/>
    <n v="84"/>
    <n v="71"/>
    <n v="93"/>
    <n v="89"/>
    <n v="505"/>
    <n v="252.5"/>
  </r>
  <r>
    <s v="Peeter Olesk"/>
    <x v="6"/>
    <x v="0"/>
    <x v="2"/>
    <x v="0"/>
    <s v="09.09.23"/>
    <n v="93"/>
    <n v="95"/>
    <n v="96"/>
    <n v="96"/>
    <n v="97"/>
    <n v="100"/>
    <n v="577"/>
    <n v="288.5"/>
  </r>
  <r>
    <s v="Silver Mäe"/>
    <x v="13"/>
    <x v="0"/>
    <x v="2"/>
    <x v="0"/>
    <s v="10.09.23"/>
    <n v="94"/>
    <n v="99"/>
    <n v="92"/>
    <n v="87"/>
    <n v="90"/>
    <n v="93"/>
    <n v="555"/>
    <n v="277.5"/>
  </r>
  <r>
    <s v="Marja Kirss"/>
    <x v="13"/>
    <x v="3"/>
    <x v="2"/>
    <x v="0"/>
    <s v="10.09.23"/>
    <n v="93"/>
    <n v="94"/>
    <n v="95"/>
    <n v="99"/>
    <n v="95"/>
    <n v="98"/>
    <n v="574"/>
    <n v="287"/>
  </r>
  <r>
    <s v="Ivar Tallerman"/>
    <x v="0"/>
    <x v="0"/>
    <x v="3"/>
    <x v="0"/>
    <s v="09.09.23"/>
    <n v="94"/>
    <n v="92"/>
    <n v="92"/>
    <m/>
    <m/>
    <m/>
    <n v="278"/>
    <n v="278"/>
  </r>
  <r>
    <s v="Jevgeni Gerassimov"/>
    <x v="0"/>
    <x v="2"/>
    <x v="3"/>
    <x v="0"/>
    <s v="09.09.23"/>
    <n v="84"/>
    <n v="85"/>
    <n v="83"/>
    <m/>
    <m/>
    <m/>
    <n v="252"/>
    <n v="252"/>
  </r>
  <r>
    <s v="Tatiana Mikhailova"/>
    <x v="0"/>
    <x v="3"/>
    <x v="3"/>
    <x v="0"/>
    <s v="09.09.23"/>
    <n v="86"/>
    <n v="93"/>
    <n v="95"/>
    <m/>
    <m/>
    <m/>
    <n v="274"/>
    <n v="274"/>
  </r>
  <r>
    <s v="Veera Rumjantseva"/>
    <x v="0"/>
    <x v="1"/>
    <x v="3"/>
    <x v="0"/>
    <s v="09.09.23"/>
    <n v="91"/>
    <n v="96"/>
    <n v="92"/>
    <m/>
    <m/>
    <m/>
    <n v="279"/>
    <n v="279"/>
  </r>
  <r>
    <s v="Asko Mäeots"/>
    <x v="1"/>
    <x v="0"/>
    <x v="3"/>
    <x v="0"/>
    <s v="09.09.23"/>
    <n v="97"/>
    <n v="99"/>
    <n v="91"/>
    <m/>
    <m/>
    <m/>
    <n v="287"/>
    <n v="287"/>
  </r>
  <r>
    <s v="Kätliin Saar"/>
    <x v="1"/>
    <x v="1"/>
    <x v="3"/>
    <x v="0"/>
    <s v="09.09.23"/>
    <n v="87"/>
    <n v="79"/>
    <n v="90"/>
    <m/>
    <m/>
    <m/>
    <n v="256"/>
    <n v="256"/>
  </r>
  <r>
    <s v="Ott Ottisaar"/>
    <x v="1"/>
    <x v="2"/>
    <x v="3"/>
    <x v="0"/>
    <s v="09.09.23"/>
    <n v="78"/>
    <n v="92"/>
    <n v="91"/>
    <m/>
    <m/>
    <m/>
    <n v="261"/>
    <n v="261"/>
  </r>
  <r>
    <s v="Minna-Mai Kaas"/>
    <x v="1"/>
    <x v="3"/>
    <x v="3"/>
    <x v="0"/>
    <s v="09.09.23"/>
    <n v="54"/>
    <n v="62"/>
    <n v="54"/>
    <m/>
    <m/>
    <m/>
    <n v="170"/>
    <n v="170"/>
  </r>
  <r>
    <s v="Aare Niinepuu"/>
    <x v="1"/>
    <x v="0"/>
    <x v="3"/>
    <x v="1"/>
    <s v="09.09.23"/>
    <n v="66"/>
    <n v="75"/>
    <n v="73"/>
    <m/>
    <m/>
    <m/>
    <n v="214"/>
    <m/>
  </r>
  <r>
    <s v="Mattis Martjak"/>
    <x v="1"/>
    <x v="2"/>
    <x v="3"/>
    <x v="1"/>
    <s v="09.09.23"/>
    <n v="69"/>
    <n v="66"/>
    <n v="87"/>
    <m/>
    <m/>
    <m/>
    <n v="222"/>
    <m/>
  </r>
  <r>
    <s v="Jaan Jänesmäe"/>
    <x v="2"/>
    <x v="0"/>
    <x v="3"/>
    <x v="1"/>
    <s v="09.09.23"/>
    <n v="87"/>
    <n v="83"/>
    <n v="84"/>
    <m/>
    <m/>
    <m/>
    <n v="254"/>
    <m/>
  </r>
  <r>
    <s v="Kai Willadsen"/>
    <x v="2"/>
    <x v="0"/>
    <x v="3"/>
    <x v="0"/>
    <s v="09.09.23"/>
    <n v="75"/>
    <n v="73"/>
    <n v="75"/>
    <m/>
    <m/>
    <m/>
    <n v="223"/>
    <n v="223"/>
  </r>
  <r>
    <s v="Mari-Anne Meister"/>
    <x v="2"/>
    <x v="1"/>
    <x v="3"/>
    <x v="0"/>
    <s v="09.09.23"/>
    <n v="63"/>
    <n v="89"/>
    <n v="84"/>
    <m/>
    <m/>
    <m/>
    <n v="236"/>
    <n v="236"/>
  </r>
  <r>
    <s v="Andres Ojalt"/>
    <x v="10"/>
    <x v="0"/>
    <x v="3"/>
    <x v="0"/>
    <s v="09.09.23"/>
    <n v="84"/>
    <n v="90"/>
    <n v="89"/>
    <m/>
    <m/>
    <m/>
    <n v="263"/>
    <n v="263"/>
  </r>
  <r>
    <s v="Gertrud Vaeno"/>
    <x v="4"/>
    <x v="3"/>
    <x v="3"/>
    <x v="0"/>
    <s v="09.09.23"/>
    <n v="79"/>
    <n v="72"/>
    <n v="79"/>
    <m/>
    <m/>
    <m/>
    <n v="230"/>
    <n v="230"/>
  </r>
  <r>
    <s v="Margit Kaur"/>
    <x v="4"/>
    <x v="1"/>
    <x v="3"/>
    <x v="0"/>
    <s v="09.09.23"/>
    <n v="72"/>
    <n v="73"/>
    <n v="72"/>
    <m/>
    <m/>
    <m/>
    <n v="217"/>
    <n v="217"/>
  </r>
  <r>
    <s v="Kristo Minn"/>
    <x v="4"/>
    <x v="0"/>
    <x v="3"/>
    <x v="0"/>
    <s v="09.09.23"/>
    <n v="83"/>
    <n v="87"/>
    <n v="81"/>
    <m/>
    <m/>
    <m/>
    <n v="251"/>
    <n v="251"/>
  </r>
  <r>
    <s v="Silver Juksaar"/>
    <x v="4"/>
    <x v="2"/>
    <x v="3"/>
    <x v="0"/>
    <s v="09.09.23"/>
    <n v="74"/>
    <n v="55"/>
    <n v="61"/>
    <m/>
    <m/>
    <m/>
    <n v="190"/>
    <n v="190"/>
  </r>
  <r>
    <s v="Andero Laurits"/>
    <x v="5"/>
    <x v="0"/>
    <x v="3"/>
    <x v="0"/>
    <s v="09.09.23"/>
    <n v="93"/>
    <n v="93"/>
    <n v="94"/>
    <m/>
    <m/>
    <m/>
    <n v="280"/>
    <n v="280"/>
  </r>
  <r>
    <s v="Liselle Laurits"/>
    <x v="5"/>
    <x v="1"/>
    <x v="3"/>
    <x v="0"/>
    <s v="09.09.23"/>
    <n v="90"/>
    <n v="84"/>
    <n v="89"/>
    <m/>
    <m/>
    <m/>
    <n v="263"/>
    <n v="263"/>
  </r>
  <r>
    <s v="Maia Bunder"/>
    <x v="6"/>
    <x v="3"/>
    <x v="3"/>
    <x v="0"/>
    <s v="09.09.23"/>
    <n v="85"/>
    <n v="77"/>
    <n v="90"/>
    <m/>
    <m/>
    <m/>
    <n v="252"/>
    <n v="252"/>
  </r>
  <r>
    <s v="Kahrut Märss"/>
    <x v="6"/>
    <x v="2"/>
    <x v="3"/>
    <x v="1"/>
    <s v="09.09.23"/>
    <n v="92"/>
    <n v="88"/>
    <n v="89"/>
    <m/>
    <m/>
    <m/>
    <n v="269"/>
    <m/>
  </r>
  <r>
    <s v="Ragnar Puio"/>
    <x v="6"/>
    <x v="2"/>
    <x v="3"/>
    <x v="0"/>
    <s v="09.09.23"/>
    <n v="90"/>
    <n v="90"/>
    <n v="94"/>
    <m/>
    <m/>
    <m/>
    <n v="274"/>
    <n v="274"/>
  </r>
  <r>
    <s v="Fred Raukas"/>
    <x v="6"/>
    <x v="0"/>
    <x v="3"/>
    <x v="1"/>
    <s v="09.09.23"/>
    <n v="89"/>
    <n v="89"/>
    <n v="93"/>
    <m/>
    <m/>
    <m/>
    <n v="271"/>
    <m/>
  </r>
  <r>
    <s v="Marit Kasemets"/>
    <x v="6"/>
    <x v="1"/>
    <x v="3"/>
    <x v="0"/>
    <s v="09.09.23"/>
    <n v="79"/>
    <n v="86"/>
    <n v="89"/>
    <m/>
    <m/>
    <m/>
    <n v="254"/>
    <n v="254"/>
  </r>
  <r>
    <s v="Viia Kaldam"/>
    <x v="7"/>
    <x v="1"/>
    <x v="3"/>
    <x v="0"/>
    <s v="09.09.23"/>
    <n v="94"/>
    <n v="93"/>
    <n v="91"/>
    <m/>
    <m/>
    <m/>
    <n v="278"/>
    <n v="278"/>
  </r>
  <r>
    <s v="Peeter Puio"/>
    <x v="6"/>
    <x v="0"/>
    <x v="3"/>
    <x v="0"/>
    <s v="09.09.23"/>
    <n v="92"/>
    <n v="91"/>
    <n v="89"/>
    <m/>
    <m/>
    <m/>
    <n v="272"/>
    <n v="272"/>
  </r>
  <r>
    <s v="Ivar Tallerman"/>
    <x v="0"/>
    <x v="0"/>
    <x v="4"/>
    <x v="1"/>
    <s v="09.09.23"/>
    <n v="87"/>
    <n v="86"/>
    <n v="91"/>
    <m/>
    <m/>
    <m/>
    <n v="264"/>
    <m/>
  </r>
  <r>
    <s v="Tanel Oja"/>
    <x v="0"/>
    <x v="0"/>
    <x v="4"/>
    <x v="1"/>
    <s v="09.09.23"/>
    <n v="91"/>
    <n v="86"/>
    <n v="89"/>
    <m/>
    <m/>
    <m/>
    <n v="266"/>
    <m/>
  </r>
  <r>
    <s v="Juss Leinbock"/>
    <x v="0"/>
    <x v="0"/>
    <x v="4"/>
    <x v="1"/>
    <s v="09.09.23"/>
    <n v="85"/>
    <n v="85"/>
    <n v="92"/>
    <m/>
    <m/>
    <m/>
    <n v="262"/>
    <m/>
  </r>
  <r>
    <s v="Henry Tammann"/>
    <x v="0"/>
    <x v="0"/>
    <x v="4"/>
    <x v="1"/>
    <s v="09.09.23"/>
    <n v="90"/>
    <n v="89"/>
    <n v="86"/>
    <m/>
    <m/>
    <m/>
    <n v="265"/>
    <m/>
  </r>
  <r>
    <s v="Kaire Taar"/>
    <x v="9"/>
    <x v="1"/>
    <x v="3"/>
    <x v="1"/>
    <s v="10.09.23"/>
    <n v="88"/>
    <n v="90"/>
    <n v="93"/>
    <m/>
    <m/>
    <m/>
    <n v="271"/>
    <m/>
  </r>
  <r>
    <s v="Tiiu Liivamaa"/>
    <x v="9"/>
    <x v="1"/>
    <x v="3"/>
    <x v="0"/>
    <s v="10.09.23"/>
    <n v="72"/>
    <n v="71"/>
    <n v="49"/>
    <m/>
    <m/>
    <m/>
    <n v="192"/>
    <n v="192"/>
  </r>
  <r>
    <s v="Akneliina Luur"/>
    <x v="10"/>
    <x v="3"/>
    <x v="3"/>
    <x v="0"/>
    <s v="10.09.23"/>
    <n v="81"/>
    <n v="80"/>
    <n v="82"/>
    <m/>
    <m/>
    <m/>
    <n v="243"/>
    <n v="243"/>
  </r>
  <r>
    <s v="Maret Härm-Tilk"/>
    <x v="10"/>
    <x v="1"/>
    <x v="3"/>
    <x v="0"/>
    <s v="10.09.23"/>
    <n v="86"/>
    <n v="86"/>
    <n v="89"/>
    <m/>
    <m/>
    <m/>
    <n v="261"/>
    <n v="261"/>
  </r>
  <r>
    <s v="Keno-Laur Lutsar"/>
    <x v="11"/>
    <x v="2"/>
    <x v="3"/>
    <x v="0"/>
    <s v="10.09.23"/>
    <n v="79"/>
    <n v="79"/>
    <n v="81"/>
    <m/>
    <m/>
    <m/>
    <n v="239"/>
    <n v="239"/>
  </r>
  <r>
    <s v="Riina Schmeimann"/>
    <x v="11"/>
    <x v="1"/>
    <x v="3"/>
    <x v="0"/>
    <s v="10.09.23"/>
    <n v="74"/>
    <n v="78"/>
    <n v="65"/>
    <m/>
    <m/>
    <m/>
    <n v="217"/>
    <n v="217"/>
  </r>
  <r>
    <s v="Greg Mattias Murumets"/>
    <x v="11"/>
    <x v="0"/>
    <x v="3"/>
    <x v="0"/>
    <s v="10.09.23"/>
    <n v="58"/>
    <n v="73"/>
    <n v="75"/>
    <m/>
    <m/>
    <m/>
    <n v="206"/>
    <n v="206"/>
  </r>
  <r>
    <s v="Ragne Roosla"/>
    <x v="12"/>
    <x v="1"/>
    <x v="3"/>
    <x v="0"/>
    <s v="10.09.23"/>
    <n v="85"/>
    <n v="85"/>
    <n v="90"/>
    <m/>
    <m/>
    <m/>
    <n v="260"/>
    <n v="260"/>
  </r>
  <r>
    <s v="Ragnar Juurik"/>
    <x v="12"/>
    <x v="2"/>
    <x v="3"/>
    <x v="0"/>
    <s v="10.09.23"/>
    <n v="96"/>
    <n v="94"/>
    <n v="95"/>
    <m/>
    <m/>
    <m/>
    <n v="285"/>
    <n v="285"/>
  </r>
  <r>
    <s v="Marleen Multram"/>
    <x v="12"/>
    <x v="3"/>
    <x v="3"/>
    <x v="0"/>
    <s v="10.09.23"/>
    <n v="71"/>
    <n v="71"/>
    <n v="71"/>
    <m/>
    <m/>
    <m/>
    <n v="213"/>
    <n v="213"/>
  </r>
  <r>
    <s v="Marja Kirss"/>
    <x v="13"/>
    <x v="1"/>
    <x v="3"/>
    <x v="0"/>
    <s v="10.09.23"/>
    <n v="95"/>
    <n v="94"/>
    <n v="96"/>
    <m/>
    <m/>
    <m/>
    <n v="285"/>
    <n v="285"/>
  </r>
  <r>
    <s v="Silver Mäe"/>
    <x v="13"/>
    <x v="0"/>
    <x v="3"/>
    <x v="0"/>
    <s v="10.09.23"/>
    <n v="95"/>
    <n v="96"/>
    <n v="98"/>
    <m/>
    <m/>
    <m/>
    <n v="289"/>
    <n v="289"/>
  </r>
  <r>
    <s v="Aleksander Kalitventsev"/>
    <x v="13"/>
    <x v="2"/>
    <x v="3"/>
    <x v="0"/>
    <s v="10.09.23"/>
    <n v="94"/>
    <n v="91"/>
    <n v="94"/>
    <m/>
    <m/>
    <m/>
    <n v="279"/>
    <n v="279"/>
  </r>
  <r>
    <s v="Katerina Herma"/>
    <x v="13"/>
    <x v="3"/>
    <x v="3"/>
    <x v="0"/>
    <s v="10.09.23"/>
    <n v="75"/>
    <n v="78"/>
    <n v="86"/>
    <m/>
    <m/>
    <m/>
    <n v="239"/>
    <n v="239"/>
  </r>
  <r>
    <s v="Heinar Väljak"/>
    <x v="14"/>
    <x v="0"/>
    <x v="3"/>
    <x v="0"/>
    <s v="10.09.23"/>
    <n v="76"/>
    <n v="89"/>
    <n v="85"/>
    <m/>
    <m/>
    <m/>
    <n v="250"/>
    <n v="250"/>
  </r>
  <r>
    <s v="Elerin Ross"/>
    <x v="14"/>
    <x v="3"/>
    <x v="3"/>
    <x v="0"/>
    <s v="10.09.23"/>
    <n v="91"/>
    <n v="90"/>
    <n v="91"/>
    <m/>
    <m/>
    <m/>
    <n v="272"/>
    <n v="272"/>
  </r>
  <r>
    <s v="Dana Vassel"/>
    <x v="14"/>
    <x v="3"/>
    <x v="3"/>
    <x v="1"/>
    <s v="10.09.23"/>
    <n v="77"/>
    <n v="78"/>
    <n v="76"/>
    <m/>
    <m/>
    <m/>
    <n v="231"/>
    <m/>
  </r>
  <r>
    <s v="Merje Essa"/>
    <x v="14"/>
    <x v="1"/>
    <x v="3"/>
    <x v="0"/>
    <s v="10.09.23"/>
    <n v="75"/>
    <n v="75"/>
    <n v="73"/>
    <m/>
    <m/>
    <m/>
    <n v="223"/>
    <n v="223"/>
  </r>
  <r>
    <s v="Keio Essa"/>
    <x v="14"/>
    <x v="2"/>
    <x v="3"/>
    <x v="0"/>
    <s v="10.09.23"/>
    <n v="88"/>
    <n v="87"/>
    <n v="85"/>
    <m/>
    <m/>
    <m/>
    <n v="260"/>
    <n v="260"/>
  </r>
  <r>
    <s v="Jaanus Raidlo"/>
    <x v="8"/>
    <x v="0"/>
    <x v="3"/>
    <x v="0"/>
    <s v="10.09.23"/>
    <n v="88"/>
    <n v="86"/>
    <n v="93"/>
    <m/>
    <m/>
    <m/>
    <n v="267"/>
    <n v="267"/>
  </r>
  <r>
    <s v="Argo Larionov"/>
    <x v="8"/>
    <x v="2"/>
    <x v="3"/>
    <x v="0"/>
    <s v="10.09.23"/>
    <n v="91"/>
    <n v="84"/>
    <n v="86"/>
    <m/>
    <m/>
    <m/>
    <n v="261"/>
    <n v="261"/>
  </r>
  <r>
    <s v="Kati-Ly Randviir"/>
    <x v="8"/>
    <x v="3"/>
    <x v="3"/>
    <x v="0"/>
    <s v="10.09.23"/>
    <n v="94"/>
    <n v="91"/>
    <n v="95"/>
    <m/>
    <m/>
    <m/>
    <n v="280"/>
    <n v="280"/>
  </r>
  <r>
    <s v="Heiki Männik"/>
    <x v="8"/>
    <x v="0"/>
    <x v="3"/>
    <x v="1"/>
    <s v="10.09.23"/>
    <n v="82"/>
    <n v="83"/>
    <n v="91"/>
    <m/>
    <m/>
    <m/>
    <n v="256"/>
    <m/>
  </r>
  <r>
    <s v="Andi Saaretalu"/>
    <x v="15"/>
    <x v="2"/>
    <x v="3"/>
    <x v="0"/>
    <s v="10.09.23"/>
    <n v="44"/>
    <n v="32"/>
    <n v="77"/>
    <m/>
    <m/>
    <m/>
    <n v="153"/>
    <n v="153"/>
  </r>
  <r>
    <s v="Laura Saar"/>
    <x v="15"/>
    <x v="3"/>
    <x v="3"/>
    <x v="0"/>
    <s v="10.09.23"/>
    <n v="42"/>
    <n v="26"/>
    <n v="23"/>
    <m/>
    <m/>
    <m/>
    <n v="91"/>
    <n v="91"/>
  </r>
  <r>
    <s v="Peeter Tuusis"/>
    <x v="15"/>
    <x v="0"/>
    <x v="3"/>
    <x v="0"/>
    <s v="10.09.23"/>
    <n v="56"/>
    <n v="63"/>
    <n v="55"/>
    <m/>
    <m/>
    <m/>
    <n v="174"/>
    <n v="174"/>
  </r>
  <r>
    <s v="Inga Niit"/>
    <x v="15"/>
    <x v="1"/>
    <x v="3"/>
    <x v="0"/>
    <s v="10.09.23"/>
    <n v="81"/>
    <n v="82"/>
    <n v="69"/>
    <m/>
    <m/>
    <m/>
    <n v="232"/>
    <n v="232"/>
  </r>
  <r>
    <s v="Indrek Varba"/>
    <x v="6"/>
    <x v="0"/>
    <x v="4"/>
    <x v="1"/>
    <s v="09.09.23"/>
    <n v="78"/>
    <n v="79"/>
    <n v="84"/>
    <m/>
    <m/>
    <m/>
    <n v="241"/>
    <m/>
  </r>
  <r>
    <s v="Matis Russi"/>
    <x v="10"/>
    <x v="0"/>
    <x v="3"/>
    <x v="1"/>
    <s v="10.09.23"/>
    <n v="87"/>
    <n v="80"/>
    <n v="84"/>
    <m/>
    <m/>
    <m/>
    <n v="251"/>
    <m/>
  </r>
  <r>
    <s v="Aleksei Osokin"/>
    <x v="8"/>
    <x v="0"/>
    <x v="4"/>
    <x v="1"/>
    <s v="10.09.23"/>
    <n v="90"/>
    <n v="88"/>
    <n v="91"/>
    <m/>
    <m/>
    <m/>
    <n v="269"/>
    <m/>
  </r>
  <r>
    <s v="Kristjan Kajaste"/>
    <x v="12"/>
    <x v="0"/>
    <x v="4"/>
    <x v="1"/>
    <s v="10.09.23"/>
    <n v="75"/>
    <n v="75"/>
    <n v="74"/>
    <m/>
    <m/>
    <m/>
    <n v="224"/>
    <m/>
  </r>
  <r>
    <s v="Margus Grauberg"/>
    <x v="0"/>
    <x v="0"/>
    <x v="4"/>
    <x v="0"/>
    <s v="09.09.23"/>
    <n v="90"/>
    <n v="85"/>
    <n v="89"/>
    <m/>
    <m/>
    <m/>
    <n v="264"/>
    <n v="264"/>
  </r>
  <r>
    <s v="Veera Rumjantseva"/>
    <x v="0"/>
    <x v="1"/>
    <x v="4"/>
    <x v="0"/>
    <s v="09.09.23"/>
    <n v="87"/>
    <n v="92"/>
    <n v="93"/>
    <m/>
    <m/>
    <m/>
    <n v="272"/>
    <n v="272"/>
  </r>
  <r>
    <s v="Siret Niinepuu"/>
    <x v="1"/>
    <x v="1"/>
    <x v="4"/>
    <x v="0"/>
    <s v="09.09.23"/>
    <n v="86"/>
    <n v="82"/>
    <n v="87"/>
    <m/>
    <m/>
    <m/>
    <n v="255"/>
    <n v="255"/>
  </r>
  <r>
    <s v="Tõnis Orumaa"/>
    <x v="1"/>
    <x v="0"/>
    <x v="4"/>
    <x v="0"/>
    <s v="09.09.23"/>
    <n v="89"/>
    <n v="91"/>
    <n v="85"/>
    <m/>
    <m/>
    <m/>
    <n v="265"/>
    <n v="265"/>
  </r>
  <r>
    <s v="Kristina Kiisk"/>
    <x v="1"/>
    <x v="1"/>
    <x v="4"/>
    <x v="1"/>
    <s v="09.09.23"/>
    <n v="95"/>
    <n v="95"/>
    <n v="95"/>
    <m/>
    <m/>
    <m/>
    <n v="285"/>
    <m/>
  </r>
  <r>
    <s v="Erik Amann"/>
    <x v="2"/>
    <x v="0"/>
    <x v="4"/>
    <x v="0"/>
    <s v="09.09.23"/>
    <n v="89"/>
    <n v="87"/>
    <n v="85"/>
    <m/>
    <m/>
    <m/>
    <n v="261"/>
    <n v="261"/>
  </r>
  <r>
    <s v="Katrin Leppik"/>
    <x v="2"/>
    <x v="1"/>
    <x v="4"/>
    <x v="0"/>
    <s v="09.09.23"/>
    <n v="68"/>
    <n v="76"/>
    <n v="79"/>
    <m/>
    <m/>
    <m/>
    <n v="223"/>
    <n v="223"/>
  </r>
  <r>
    <s v="Rene Toomse"/>
    <x v="3"/>
    <x v="0"/>
    <x v="4"/>
    <x v="0"/>
    <s v="09.09.23"/>
    <n v="88"/>
    <n v="84"/>
    <n v="87"/>
    <m/>
    <m/>
    <m/>
    <n v="259"/>
    <n v="259"/>
  </r>
  <r>
    <s v="Kristo Minn"/>
    <x v="4"/>
    <x v="0"/>
    <x v="4"/>
    <x v="0"/>
    <s v="09.09.23"/>
    <n v="81"/>
    <n v="91"/>
    <n v="79"/>
    <m/>
    <m/>
    <m/>
    <n v="251"/>
    <n v="251"/>
  </r>
  <r>
    <s v="Margit Kaur"/>
    <x v="4"/>
    <x v="1"/>
    <x v="4"/>
    <x v="0"/>
    <s v="09.09.23"/>
    <n v="79"/>
    <n v="84"/>
    <n v="87"/>
    <m/>
    <m/>
    <m/>
    <n v="250"/>
    <n v="250"/>
  </r>
  <r>
    <s v="Liselle Laurits"/>
    <x v="5"/>
    <x v="1"/>
    <x v="4"/>
    <x v="0"/>
    <s v="09.09.23"/>
    <n v="85"/>
    <n v="85"/>
    <n v="77"/>
    <m/>
    <m/>
    <m/>
    <n v="247"/>
    <n v="247"/>
  </r>
  <r>
    <s v="Andero Laurits"/>
    <x v="5"/>
    <x v="0"/>
    <x v="4"/>
    <x v="0"/>
    <s v="09.09.23"/>
    <n v="91"/>
    <n v="87"/>
    <n v="87"/>
    <m/>
    <m/>
    <m/>
    <n v="265"/>
    <n v="265"/>
  </r>
  <r>
    <s v="Janis Krupinš"/>
    <x v="5"/>
    <x v="0"/>
    <x v="4"/>
    <x v="1"/>
    <s v="09.09.23"/>
    <n v="79"/>
    <n v="74"/>
    <n v="79"/>
    <m/>
    <m/>
    <m/>
    <n v="232"/>
    <m/>
  </r>
  <r>
    <s v="Toomas Luman"/>
    <x v="6"/>
    <x v="0"/>
    <x v="4"/>
    <x v="1"/>
    <s v="09.09.23"/>
    <n v="91"/>
    <n v="93"/>
    <n v="90"/>
    <m/>
    <m/>
    <m/>
    <n v="274"/>
    <m/>
  </r>
  <r>
    <s v="Anu Asu"/>
    <x v="6"/>
    <x v="1"/>
    <x v="4"/>
    <x v="0"/>
    <s v="09.09.23"/>
    <n v="93"/>
    <n v="84"/>
    <n v="89"/>
    <m/>
    <m/>
    <m/>
    <n v="266"/>
    <n v="266"/>
  </r>
  <r>
    <s v="Viia Kaldam"/>
    <x v="7"/>
    <x v="1"/>
    <x v="4"/>
    <x v="0"/>
    <s v="09.09.23"/>
    <n v="81"/>
    <n v="83"/>
    <n v="79"/>
    <m/>
    <m/>
    <m/>
    <n v="243"/>
    <n v="243"/>
  </r>
  <r>
    <s v="Aleksandr Voronin"/>
    <x v="7"/>
    <x v="0"/>
    <x v="4"/>
    <x v="0"/>
    <s v="09.09.23"/>
    <n v="83"/>
    <n v="79"/>
    <n v="87"/>
    <m/>
    <m/>
    <m/>
    <n v="249"/>
    <n v="249"/>
  </r>
  <r>
    <s v="Jaanus Viirlo"/>
    <x v="9"/>
    <x v="0"/>
    <x v="4"/>
    <x v="0"/>
    <s v="10.09.23"/>
    <n v="79"/>
    <n v="76"/>
    <n v="83"/>
    <m/>
    <m/>
    <m/>
    <n v="238"/>
    <n v="238"/>
  </r>
  <r>
    <s v="Kaire Taar"/>
    <x v="9"/>
    <x v="1"/>
    <x v="4"/>
    <x v="0"/>
    <s v="10.09.23"/>
    <n v="73"/>
    <n v="78"/>
    <n v="82"/>
    <m/>
    <m/>
    <m/>
    <n v="233"/>
    <n v="233"/>
  </r>
  <r>
    <s v="Maret Härm-Tilk"/>
    <x v="10"/>
    <x v="1"/>
    <x v="4"/>
    <x v="0"/>
    <s v="10.09.23"/>
    <n v="84"/>
    <n v="90"/>
    <n v="85"/>
    <m/>
    <m/>
    <m/>
    <n v="259"/>
    <n v="259"/>
  </r>
  <r>
    <s v="Tiit Lints"/>
    <x v="10"/>
    <x v="0"/>
    <x v="4"/>
    <x v="0"/>
    <s v="10.09.23"/>
    <n v="75"/>
    <n v="86"/>
    <n v="87"/>
    <m/>
    <m/>
    <m/>
    <n v="248"/>
    <n v="248"/>
  </r>
  <r>
    <s v="Katrin Arulepp"/>
    <x v="11"/>
    <x v="1"/>
    <x v="4"/>
    <x v="0"/>
    <s v="10.09.23"/>
    <n v="78"/>
    <n v="80"/>
    <n v="79"/>
    <m/>
    <m/>
    <m/>
    <n v="237"/>
    <n v="237"/>
  </r>
  <r>
    <s v="Margus Palolill"/>
    <x v="11"/>
    <x v="0"/>
    <x v="4"/>
    <x v="1"/>
    <s v="10.09.23"/>
    <n v="82"/>
    <n v="88"/>
    <n v="89"/>
    <m/>
    <m/>
    <m/>
    <n v="259"/>
    <m/>
  </r>
  <r>
    <s v="Raigo Talv"/>
    <x v="11"/>
    <x v="0"/>
    <x v="4"/>
    <x v="0"/>
    <s v="10.09.23"/>
    <n v="53"/>
    <n v="45"/>
    <n v="48"/>
    <m/>
    <m/>
    <m/>
    <n v="146"/>
    <n v="146"/>
  </r>
  <r>
    <s v="Kristel Kaasiku"/>
    <x v="12"/>
    <x v="1"/>
    <x v="4"/>
    <x v="0"/>
    <s v="10.09.23"/>
    <n v="81"/>
    <n v="75"/>
    <n v="82"/>
    <m/>
    <m/>
    <m/>
    <n v="238"/>
    <n v="238"/>
  </r>
  <r>
    <s v="Siim Illopmägi"/>
    <x v="12"/>
    <x v="0"/>
    <x v="4"/>
    <x v="0"/>
    <s v="10.09.23"/>
    <n v="86"/>
    <n v="79"/>
    <n v="89"/>
    <m/>
    <m/>
    <m/>
    <n v="254"/>
    <n v="254"/>
  </r>
  <r>
    <s v="Marit Pleiats"/>
    <x v="13"/>
    <x v="1"/>
    <x v="4"/>
    <x v="0"/>
    <s v="10.09.23"/>
    <n v="89"/>
    <n v="71"/>
    <n v="80"/>
    <m/>
    <m/>
    <m/>
    <n v="240"/>
    <n v="240"/>
  </r>
  <r>
    <s v="Allar Mürk"/>
    <x v="13"/>
    <x v="0"/>
    <x v="4"/>
    <x v="0"/>
    <s v="10.09.23"/>
    <n v="86"/>
    <n v="88"/>
    <n v="87"/>
    <m/>
    <m/>
    <m/>
    <n v="261"/>
    <n v="261"/>
  </r>
  <r>
    <s v="Daimar Elp"/>
    <x v="14"/>
    <x v="0"/>
    <x v="4"/>
    <x v="1"/>
    <s v="10.09.23"/>
    <n v="74"/>
    <n v="85"/>
    <n v="86"/>
    <m/>
    <m/>
    <m/>
    <n v="245"/>
    <m/>
  </r>
  <r>
    <s v="Signe Viggor"/>
    <x v="14"/>
    <x v="1"/>
    <x v="4"/>
    <x v="0"/>
    <s v="10.09.23"/>
    <n v="70"/>
    <n v="76"/>
    <n v="77"/>
    <m/>
    <m/>
    <m/>
    <n v="223"/>
    <n v="223"/>
  </r>
  <r>
    <s v="Reijo Virolainen"/>
    <x v="14"/>
    <x v="0"/>
    <x v="4"/>
    <x v="0"/>
    <s v="10.09.23"/>
    <n v="89"/>
    <n v="91"/>
    <n v="88"/>
    <m/>
    <m/>
    <m/>
    <n v="268"/>
    <n v="268"/>
  </r>
  <r>
    <s v="Jaanus Mätas"/>
    <x v="8"/>
    <x v="0"/>
    <x v="4"/>
    <x v="0"/>
    <s v="10.09.23"/>
    <n v="88"/>
    <n v="87"/>
    <n v="76"/>
    <m/>
    <m/>
    <m/>
    <n v="251"/>
    <n v="251"/>
  </r>
  <r>
    <s v="Piret Rehe"/>
    <x v="8"/>
    <x v="1"/>
    <x v="4"/>
    <x v="0"/>
    <s v="10.09.23"/>
    <n v="67"/>
    <n v="54"/>
    <n v="72"/>
    <m/>
    <m/>
    <m/>
    <n v="193"/>
    <n v="193"/>
  </r>
  <r>
    <s v="Veiko Park"/>
    <x v="15"/>
    <x v="0"/>
    <x v="4"/>
    <x v="0"/>
    <s v="10.09.23"/>
    <n v="82"/>
    <n v="91"/>
    <n v="83"/>
    <m/>
    <m/>
    <m/>
    <n v="256"/>
    <n v="256"/>
  </r>
  <r>
    <s v="Karme Hain"/>
    <x v="15"/>
    <x v="1"/>
    <x v="4"/>
    <x v="0"/>
    <s v="10.09.23"/>
    <n v="74"/>
    <n v="74"/>
    <n v="76"/>
    <m/>
    <m/>
    <m/>
    <n v="224"/>
    <n v="224"/>
  </r>
  <r>
    <s v="Peeter Olesk"/>
    <x v="6"/>
    <x v="0"/>
    <x v="4"/>
    <x v="0"/>
    <s v="09.09.23"/>
    <n v="90"/>
    <n v="87"/>
    <n v="93"/>
    <m/>
    <m/>
    <m/>
    <n v="270"/>
    <n v="270"/>
  </r>
  <r>
    <s v="Tanel Oja"/>
    <x v="0"/>
    <x v="0"/>
    <x v="5"/>
    <x v="0"/>
    <s v="09.09.23"/>
    <n v="83"/>
    <n v="79"/>
    <n v="86"/>
    <m/>
    <m/>
    <m/>
    <n v="248"/>
    <n v="248"/>
  </r>
  <r>
    <s v="Jekaterina Tihhomirova"/>
    <x v="0"/>
    <x v="1"/>
    <x v="5"/>
    <x v="0"/>
    <s v="09.09.23"/>
    <n v="88"/>
    <n v="86"/>
    <n v="88"/>
    <m/>
    <m/>
    <m/>
    <n v="262"/>
    <n v="262"/>
  </r>
  <r>
    <s v="Ivar Tallerman"/>
    <x v="0"/>
    <x v="0"/>
    <x v="5"/>
    <x v="1"/>
    <s v="09.09.23"/>
    <n v="75"/>
    <n v="67"/>
    <n v="85"/>
    <m/>
    <m/>
    <m/>
    <n v="227"/>
    <m/>
  </r>
  <r>
    <s v="Margus Grauberg"/>
    <x v="0"/>
    <x v="0"/>
    <x v="5"/>
    <x v="1"/>
    <s v="09.09.23"/>
    <n v="78"/>
    <n v="74"/>
    <n v="71"/>
    <m/>
    <m/>
    <m/>
    <n v="223"/>
    <m/>
  </r>
  <r>
    <s v="Tambet Leinbock"/>
    <x v="0"/>
    <x v="0"/>
    <x v="5"/>
    <x v="0"/>
    <s v="09.09.23"/>
    <n v="81"/>
    <n v="81"/>
    <n v="81"/>
    <m/>
    <m/>
    <m/>
    <n v="243"/>
    <n v="243"/>
  </r>
  <r>
    <s v="Indrek Reismann"/>
    <x v="1"/>
    <x v="0"/>
    <x v="5"/>
    <x v="0"/>
    <s v="09.09.23"/>
    <n v="80"/>
    <n v="73"/>
    <n v="82"/>
    <m/>
    <m/>
    <m/>
    <n v="235"/>
    <n v="235"/>
  </r>
  <r>
    <s v="Andres Välli"/>
    <x v="1"/>
    <x v="0"/>
    <x v="5"/>
    <x v="0"/>
    <s v="09.09.23"/>
    <n v="80"/>
    <n v="76"/>
    <n v="79"/>
    <m/>
    <m/>
    <m/>
    <n v="235"/>
    <n v="235"/>
  </r>
  <r>
    <s v="Heli Hiiemäe"/>
    <x v="1"/>
    <x v="1"/>
    <x v="5"/>
    <x v="0"/>
    <s v="09.09.23"/>
    <n v="39"/>
    <n v="49"/>
    <n v="45"/>
    <m/>
    <m/>
    <m/>
    <n v="133"/>
    <n v="133"/>
  </r>
  <r>
    <s v="Urmas Kõonurm"/>
    <x v="1"/>
    <x v="0"/>
    <x v="5"/>
    <x v="1"/>
    <s v="09.09.23"/>
    <n v="76"/>
    <n v="50"/>
    <n v="11"/>
    <m/>
    <m/>
    <m/>
    <n v="137"/>
    <m/>
  </r>
  <r>
    <s v="Jürgen Kaas"/>
    <x v="1"/>
    <x v="0"/>
    <x v="5"/>
    <x v="1"/>
    <s v="09.09.23"/>
    <n v="69"/>
    <n v="59"/>
    <n v="66"/>
    <m/>
    <m/>
    <m/>
    <n v="194"/>
    <m/>
  </r>
  <r>
    <s v="Martti Raavel"/>
    <x v="2"/>
    <x v="0"/>
    <x v="5"/>
    <x v="0"/>
    <s v="09.09.23"/>
    <n v="65"/>
    <n v="75"/>
    <n v="71"/>
    <m/>
    <m/>
    <m/>
    <n v="211"/>
    <n v="211"/>
  </r>
  <r>
    <s v="Andres Hairk"/>
    <x v="2"/>
    <x v="0"/>
    <x v="5"/>
    <x v="0"/>
    <s v="09.09.23"/>
    <n v="66"/>
    <n v="68"/>
    <n v="59"/>
    <m/>
    <m/>
    <m/>
    <n v="193"/>
    <n v="193"/>
  </r>
  <r>
    <s v="Merri Laidma"/>
    <x v="2"/>
    <x v="1"/>
    <x v="5"/>
    <x v="0"/>
    <s v="09.09.23"/>
    <n v="65"/>
    <n v="64"/>
    <n v="57"/>
    <m/>
    <m/>
    <m/>
    <n v="186"/>
    <n v="186"/>
  </r>
  <r>
    <s v="Margus Purlau"/>
    <x v="3"/>
    <x v="0"/>
    <x v="5"/>
    <x v="1"/>
    <s v="09.09.23"/>
    <n v="73"/>
    <n v="73"/>
    <n v="76"/>
    <m/>
    <m/>
    <m/>
    <n v="222"/>
    <m/>
  </r>
  <r>
    <s v="Riho Ühtegi"/>
    <x v="3"/>
    <x v="0"/>
    <x v="5"/>
    <x v="0"/>
    <s v="09.09.23"/>
    <n v="82"/>
    <n v="90"/>
    <n v="80"/>
    <m/>
    <m/>
    <m/>
    <n v="252"/>
    <n v="252"/>
  </r>
  <r>
    <s v="Kersti Kaare"/>
    <x v="3"/>
    <x v="1"/>
    <x v="5"/>
    <x v="0"/>
    <s v="09.09.23"/>
    <n v="84"/>
    <n v="81"/>
    <n v="81"/>
    <m/>
    <m/>
    <m/>
    <n v="246"/>
    <n v="246"/>
  </r>
  <r>
    <s v="Meelis Unt"/>
    <x v="3"/>
    <x v="0"/>
    <x v="5"/>
    <x v="1"/>
    <s v="09.09.23"/>
    <n v="72"/>
    <n v="67"/>
    <n v="82"/>
    <m/>
    <m/>
    <m/>
    <n v="221"/>
    <m/>
  </r>
  <r>
    <s v="Priit Avarmaa"/>
    <x v="4"/>
    <x v="0"/>
    <x v="5"/>
    <x v="0"/>
    <s v="09.09.23"/>
    <n v="74"/>
    <n v="81"/>
    <n v="80"/>
    <m/>
    <m/>
    <m/>
    <n v="235"/>
    <n v="235"/>
  </r>
  <r>
    <s v="Rando Köster"/>
    <x v="4"/>
    <x v="0"/>
    <x v="5"/>
    <x v="0"/>
    <s v="09.09.23"/>
    <n v="74"/>
    <n v="83"/>
    <n v="79"/>
    <m/>
    <m/>
    <m/>
    <n v="236"/>
    <n v="236"/>
  </r>
  <r>
    <s v="Karin Madisson"/>
    <x v="4"/>
    <x v="1"/>
    <x v="5"/>
    <x v="0"/>
    <s v="09.09.23"/>
    <n v="46"/>
    <n v="55"/>
    <n v="61"/>
    <m/>
    <m/>
    <m/>
    <n v="162"/>
    <n v="162"/>
  </r>
  <r>
    <s v="Kert Kreem"/>
    <x v="5"/>
    <x v="0"/>
    <x v="5"/>
    <x v="0"/>
    <s v="09.09.23"/>
    <n v="51"/>
    <n v="53"/>
    <n v="49"/>
    <m/>
    <m/>
    <m/>
    <n v="153"/>
    <n v="153"/>
  </r>
  <r>
    <s v="Kert Humal"/>
    <x v="5"/>
    <x v="0"/>
    <x v="5"/>
    <x v="0"/>
    <s v="09.09.23"/>
    <n v="81"/>
    <n v="74"/>
    <n v="56"/>
    <m/>
    <m/>
    <m/>
    <n v="211"/>
    <n v="211"/>
  </r>
  <r>
    <s v="Heino Piirsalu"/>
    <x v="6"/>
    <x v="0"/>
    <x v="5"/>
    <x v="1"/>
    <s v="09.09.23"/>
    <n v="78"/>
    <n v="78"/>
    <n v="78"/>
    <m/>
    <m/>
    <m/>
    <n v="234"/>
    <m/>
  </r>
  <r>
    <s v="Lembit Mitt"/>
    <x v="6"/>
    <x v="0"/>
    <x v="5"/>
    <x v="0"/>
    <s v="09.09.23"/>
    <n v="74"/>
    <n v="82"/>
    <n v="82"/>
    <m/>
    <m/>
    <m/>
    <n v="238"/>
    <n v="238"/>
  </r>
  <r>
    <s v="Kristiina Kivari"/>
    <x v="6"/>
    <x v="1"/>
    <x v="5"/>
    <x v="0"/>
    <s v="09.09.23"/>
    <n v="69"/>
    <n v="62"/>
    <n v="68"/>
    <m/>
    <m/>
    <m/>
    <n v="199"/>
    <n v="199"/>
  </r>
  <r>
    <s v="Oksana Leesik"/>
    <x v="7"/>
    <x v="1"/>
    <x v="5"/>
    <x v="0"/>
    <s v="09.09.23"/>
    <n v="30"/>
    <n v="63"/>
    <n v="59"/>
    <m/>
    <m/>
    <m/>
    <n v="152"/>
    <n v="152"/>
  </r>
  <r>
    <s v="Aili Popp"/>
    <x v="7"/>
    <x v="1"/>
    <x v="5"/>
    <x v="0"/>
    <s v="09.09.23"/>
    <n v="88"/>
    <n v="89"/>
    <n v="80"/>
    <m/>
    <m/>
    <m/>
    <n v="257"/>
    <n v="257"/>
  </r>
  <r>
    <s v="Ain Nurmla"/>
    <x v="7"/>
    <x v="0"/>
    <x v="5"/>
    <x v="0"/>
    <s v="09.09.23"/>
    <n v="76"/>
    <n v="62"/>
    <n v="80"/>
    <m/>
    <m/>
    <m/>
    <n v="218"/>
    <n v="218"/>
  </r>
  <r>
    <s v="Andre Kirbits"/>
    <x v="7"/>
    <x v="0"/>
    <x v="5"/>
    <x v="1"/>
    <s v="09.09.23"/>
    <n v="67"/>
    <n v="42"/>
    <n v="31"/>
    <m/>
    <m/>
    <m/>
    <n v="140"/>
    <m/>
  </r>
  <r>
    <s v="Eha Valdna"/>
    <x v="8"/>
    <x v="1"/>
    <x v="5"/>
    <x v="0"/>
    <s v="09.09.23"/>
    <n v="79"/>
    <n v="66"/>
    <n v="58"/>
    <m/>
    <m/>
    <m/>
    <n v="203"/>
    <n v="203"/>
  </r>
  <r>
    <s v="Toomas Luman"/>
    <x v="6"/>
    <x v="0"/>
    <x v="5"/>
    <x v="0"/>
    <s v="09.09.23"/>
    <n v="81"/>
    <n v="80"/>
    <n v="86"/>
    <m/>
    <m/>
    <m/>
    <n v="247"/>
    <n v="247"/>
  </r>
  <r>
    <s v="Andres Käär"/>
    <x v="9"/>
    <x v="0"/>
    <x v="5"/>
    <x v="0"/>
    <s v="10.09.23"/>
    <n v="75"/>
    <n v="63"/>
    <n v="74"/>
    <m/>
    <m/>
    <m/>
    <n v="212"/>
    <n v="212"/>
  </r>
  <r>
    <s v="Aivar Liivrand"/>
    <x v="9"/>
    <x v="0"/>
    <x v="5"/>
    <x v="0"/>
    <s v="10.09.23"/>
    <n v="75"/>
    <n v="76"/>
    <n v="77"/>
    <m/>
    <m/>
    <m/>
    <n v="228"/>
    <n v="228"/>
  </r>
  <r>
    <s v="Kristi Mets"/>
    <x v="9"/>
    <x v="1"/>
    <x v="5"/>
    <x v="0"/>
    <s v="10.09.23"/>
    <n v="55"/>
    <n v="62"/>
    <n v="56"/>
    <m/>
    <m/>
    <m/>
    <n v="173"/>
    <n v="173"/>
  </r>
  <r>
    <s v="Rain Jano"/>
    <x v="3"/>
    <x v="0"/>
    <x v="5"/>
    <x v="0"/>
    <s v="10.09.23"/>
    <n v="83"/>
    <n v="79"/>
    <n v="82"/>
    <m/>
    <m/>
    <m/>
    <n v="244"/>
    <n v="244"/>
  </r>
  <r>
    <s v="Martin Valk"/>
    <x v="10"/>
    <x v="0"/>
    <x v="5"/>
    <x v="0"/>
    <s v="10.09.23"/>
    <n v="63"/>
    <n v="60"/>
    <n v="57"/>
    <m/>
    <m/>
    <m/>
    <n v="180"/>
    <n v="180"/>
  </r>
  <r>
    <s v="Siim Jeeberg"/>
    <x v="10"/>
    <x v="0"/>
    <x v="5"/>
    <x v="0"/>
    <s v="10.09.23"/>
    <n v="87"/>
    <n v="90"/>
    <n v="85"/>
    <m/>
    <m/>
    <m/>
    <n v="262"/>
    <n v="262"/>
  </r>
  <r>
    <s v="Anne Kull"/>
    <x v="10"/>
    <x v="1"/>
    <x v="5"/>
    <x v="0"/>
    <s v="10.09.23"/>
    <n v="79"/>
    <n v="84"/>
    <n v="74"/>
    <m/>
    <m/>
    <m/>
    <n v="237"/>
    <n v="237"/>
  </r>
  <r>
    <s v="Rainis Kukispuu"/>
    <x v="10"/>
    <x v="0"/>
    <x v="5"/>
    <x v="1"/>
    <s v="10.09.23"/>
    <n v="66"/>
    <n v="63"/>
    <n v="66"/>
    <m/>
    <m/>
    <m/>
    <n v="195"/>
    <m/>
  </r>
  <r>
    <s v="Margus Palolill"/>
    <x v="11"/>
    <x v="0"/>
    <x v="5"/>
    <x v="0"/>
    <s v="10.09.23"/>
    <n v="62"/>
    <n v="69"/>
    <n v="80"/>
    <m/>
    <m/>
    <m/>
    <n v="211"/>
    <n v="211"/>
  </r>
  <r>
    <s v="Carmen Kägo"/>
    <x v="11"/>
    <x v="1"/>
    <x v="5"/>
    <x v="0"/>
    <s v="10.09.23"/>
    <n v="54"/>
    <n v="52"/>
    <n v="59"/>
    <m/>
    <m/>
    <m/>
    <n v="165"/>
    <n v="165"/>
  </r>
  <r>
    <s v="Vassili Stepanov"/>
    <x v="12"/>
    <x v="0"/>
    <x v="5"/>
    <x v="0"/>
    <s v="10.09.23"/>
    <n v="68"/>
    <n v="74"/>
    <n v="48"/>
    <m/>
    <m/>
    <m/>
    <n v="190"/>
    <n v="190"/>
  </r>
  <r>
    <s v="Kristjan Kajaste"/>
    <x v="12"/>
    <x v="0"/>
    <x v="5"/>
    <x v="0"/>
    <s v="10.09.23"/>
    <n v="77"/>
    <n v="67"/>
    <n v="74"/>
    <m/>
    <m/>
    <m/>
    <n v="218"/>
    <n v="218"/>
  </r>
  <r>
    <s v="Kristel Kaasiku"/>
    <x v="12"/>
    <x v="1"/>
    <x v="5"/>
    <x v="0"/>
    <s v="10.09.23"/>
    <n v="43"/>
    <n v="52"/>
    <n v="50"/>
    <m/>
    <m/>
    <m/>
    <n v="145"/>
    <n v="145"/>
  </r>
  <r>
    <s v="Markko Aarne"/>
    <x v="13"/>
    <x v="0"/>
    <x v="5"/>
    <x v="1"/>
    <s v="10.09.23"/>
    <n v="63"/>
    <n v="73"/>
    <n v="60"/>
    <m/>
    <m/>
    <m/>
    <n v="196"/>
    <m/>
  </r>
  <r>
    <s v="Ivar Siidirätsep"/>
    <x v="13"/>
    <x v="0"/>
    <x v="5"/>
    <x v="0"/>
    <s v="10.09.23"/>
    <n v="54"/>
    <n v="60"/>
    <n v="78"/>
    <m/>
    <m/>
    <m/>
    <n v="192"/>
    <n v="192"/>
  </r>
  <r>
    <s v="Ele Lehes"/>
    <x v="13"/>
    <x v="1"/>
    <x v="5"/>
    <x v="0"/>
    <s v="10.09.23"/>
    <n v="55"/>
    <n v="74"/>
    <n v="64"/>
    <m/>
    <m/>
    <m/>
    <n v="193"/>
    <n v="193"/>
  </r>
  <r>
    <s v="Toomas Taimre"/>
    <x v="13"/>
    <x v="0"/>
    <x v="5"/>
    <x v="0"/>
    <s v="10.09.23"/>
    <n v="73"/>
    <n v="72"/>
    <n v="83"/>
    <m/>
    <m/>
    <m/>
    <n v="228"/>
    <n v="228"/>
  </r>
  <r>
    <s v="Olavi Kask"/>
    <x v="14"/>
    <x v="0"/>
    <x v="5"/>
    <x v="1"/>
    <s v="10.09.23"/>
    <n v="56"/>
    <n v="53"/>
    <n v="60"/>
    <m/>
    <m/>
    <m/>
    <n v="169"/>
    <m/>
  </r>
  <r>
    <s v="Jaanus Roos"/>
    <x v="14"/>
    <x v="0"/>
    <x v="5"/>
    <x v="0"/>
    <s v="10.09.23"/>
    <n v="76"/>
    <n v="81"/>
    <n v="84"/>
    <m/>
    <m/>
    <m/>
    <n v="241"/>
    <n v="241"/>
  </r>
  <r>
    <s v="Liis Kruuse"/>
    <x v="14"/>
    <x v="1"/>
    <x v="5"/>
    <x v="0"/>
    <s v="10.09.23"/>
    <n v="69"/>
    <n v="64"/>
    <n v="68"/>
    <m/>
    <m/>
    <m/>
    <n v="201"/>
    <n v="201"/>
  </r>
  <r>
    <s v="Erik Aadusoo"/>
    <x v="14"/>
    <x v="0"/>
    <x v="5"/>
    <x v="0"/>
    <s v="10.09.23"/>
    <n v="72"/>
    <n v="72"/>
    <n v="65"/>
    <m/>
    <m/>
    <m/>
    <n v="209"/>
    <n v="209"/>
  </r>
  <r>
    <s v="Taivo Eylandt"/>
    <x v="8"/>
    <x v="0"/>
    <x v="5"/>
    <x v="0"/>
    <s v="10.09.23"/>
    <n v="81"/>
    <n v="78"/>
    <n v="83"/>
    <m/>
    <m/>
    <m/>
    <n v="242"/>
    <n v="242"/>
  </r>
  <r>
    <s v="Enno Jeršov"/>
    <x v="8"/>
    <x v="0"/>
    <x v="5"/>
    <x v="0"/>
    <s v="10.09.23"/>
    <n v="78"/>
    <n v="68"/>
    <n v="74"/>
    <m/>
    <m/>
    <m/>
    <n v="220"/>
    <n v="220"/>
  </r>
  <r>
    <s v="Indrek Hunt"/>
    <x v="15"/>
    <x v="0"/>
    <x v="5"/>
    <x v="0"/>
    <s v="10.09.23"/>
    <n v="74"/>
    <n v="72"/>
    <n v="71"/>
    <m/>
    <m/>
    <m/>
    <n v="217"/>
    <n v="217"/>
  </r>
  <r>
    <s v="Rivo Poltimäe"/>
    <x v="15"/>
    <x v="0"/>
    <x v="5"/>
    <x v="0"/>
    <s v="10.09.23"/>
    <n v="65"/>
    <n v="68"/>
    <n v="70"/>
    <m/>
    <m/>
    <m/>
    <n v="203"/>
    <n v="203"/>
  </r>
  <r>
    <s v="Ruth Maadla"/>
    <x v="15"/>
    <x v="1"/>
    <x v="5"/>
    <x v="0"/>
    <s v="10.09.23"/>
    <n v="14"/>
    <n v="38"/>
    <n v="19"/>
    <m/>
    <m/>
    <m/>
    <n v="71"/>
    <n v="71"/>
  </r>
  <r>
    <s v="Laura Lees"/>
    <x v="15"/>
    <x v="1"/>
    <x v="5"/>
    <x v="1"/>
    <s v="10.09.23"/>
    <n v="31"/>
    <n v="47"/>
    <n v="11"/>
    <m/>
    <m/>
    <m/>
    <n v="89"/>
    <m/>
  </r>
  <r>
    <s v="Juss Leinbock"/>
    <x v="0"/>
    <x v="0"/>
    <x v="5"/>
    <x v="1"/>
    <s v="09.09.23"/>
    <n v="77"/>
    <n v="75"/>
    <n v="82"/>
    <m/>
    <m/>
    <m/>
    <n v="234"/>
    <m/>
  </r>
  <r>
    <s v="Ants Pertelson"/>
    <x v="6"/>
    <x v="0"/>
    <x v="5"/>
    <x v="1"/>
    <s v="09.09.23"/>
    <n v="65"/>
    <n v="62"/>
    <n v="56"/>
    <m/>
    <m/>
    <m/>
    <n v="183"/>
    <m/>
  </r>
  <r>
    <s v="Toomas Niinemäe"/>
    <x v="6"/>
    <x v="0"/>
    <x v="5"/>
    <x v="1"/>
    <s v="09.09.23"/>
    <n v="78"/>
    <n v="74"/>
    <n v="83"/>
    <m/>
    <m/>
    <m/>
    <n v="235"/>
    <m/>
  </r>
  <r>
    <s v="Ragnar Joosep"/>
    <x v="11"/>
    <x v="0"/>
    <x v="5"/>
    <x v="0"/>
    <s v="10.09.23"/>
    <n v="65"/>
    <n v="61"/>
    <n v="71"/>
    <m/>
    <m/>
    <m/>
    <n v="197"/>
    <n v="197"/>
  </r>
  <r>
    <s v="Margus Riso"/>
    <x v="9"/>
    <x v="0"/>
    <x v="5"/>
    <x v="1"/>
    <s v="10.09.23"/>
    <n v="58"/>
    <n v="46"/>
    <n v="57"/>
    <m/>
    <m/>
    <m/>
    <n v="161"/>
    <m/>
  </r>
  <r>
    <s v="Kenneth Koosma"/>
    <x v="12"/>
    <x v="0"/>
    <x v="5"/>
    <x v="1"/>
    <s v="10.09.23"/>
    <n v="74"/>
    <n v="83"/>
    <n v="85"/>
    <m/>
    <m/>
    <m/>
    <n v="242"/>
    <m/>
  </r>
  <r>
    <s v="Merle Pekri"/>
    <x v="6"/>
    <x v="1"/>
    <x v="5"/>
    <x v="1"/>
    <s v="10.09.23"/>
    <n v="68"/>
    <n v="70"/>
    <n v="66"/>
    <m/>
    <m/>
    <m/>
    <n v="204"/>
    <m/>
  </r>
  <r>
    <s v="Alar Nigul"/>
    <x v="6"/>
    <x v="0"/>
    <x v="5"/>
    <x v="1"/>
    <s v="10.09.23"/>
    <n v="63"/>
    <n v="72"/>
    <n v="71"/>
    <m/>
    <m/>
    <m/>
    <n v="206"/>
    <m/>
  </r>
  <r>
    <s v="Janis Aarne"/>
    <x v="6"/>
    <x v="0"/>
    <x v="5"/>
    <x v="1"/>
    <s v="09.09.23"/>
    <n v="89"/>
    <n v="74"/>
    <n v="80"/>
    <m/>
    <m/>
    <m/>
    <n v="243"/>
    <m/>
  </r>
  <r>
    <s v="Tambet Leinbock"/>
    <x v="0"/>
    <x v="0"/>
    <x v="6"/>
    <x v="0"/>
    <s v="09.09.23"/>
    <n v="87"/>
    <n v="81"/>
    <n v="82"/>
    <m/>
    <m/>
    <m/>
    <n v="250"/>
    <n v="250"/>
  </r>
  <r>
    <s v="Tõnu Kibena"/>
    <x v="1"/>
    <x v="0"/>
    <x v="6"/>
    <x v="0"/>
    <s v="09.09.23"/>
    <n v="90"/>
    <n v="85"/>
    <n v="92"/>
    <m/>
    <m/>
    <m/>
    <n v="267"/>
    <n v="267"/>
  </r>
  <r>
    <s v="Jaan Jänesmäe"/>
    <x v="2"/>
    <x v="0"/>
    <x v="6"/>
    <x v="0"/>
    <s v="09.09.23"/>
    <n v="98"/>
    <n v="96"/>
    <n v="94"/>
    <m/>
    <m/>
    <m/>
    <n v="288"/>
    <n v="288"/>
  </r>
  <r>
    <s v="Rene Toomse"/>
    <x v="3"/>
    <x v="0"/>
    <x v="6"/>
    <x v="0"/>
    <s v="09.09.23"/>
    <n v="83"/>
    <n v="90"/>
    <n v="94"/>
    <m/>
    <m/>
    <m/>
    <n v="267"/>
    <n v="267"/>
  </r>
  <r>
    <s v="Toomas Juksaar"/>
    <x v="4"/>
    <x v="0"/>
    <x v="6"/>
    <x v="0"/>
    <s v="09.09.23"/>
    <n v="98"/>
    <n v="99"/>
    <n v="100"/>
    <m/>
    <m/>
    <m/>
    <n v="297"/>
    <n v="297"/>
  </r>
  <r>
    <s v="Aado Toomsalu"/>
    <x v="5"/>
    <x v="0"/>
    <x v="6"/>
    <x v="0"/>
    <s v="09.09.23"/>
    <n v="80"/>
    <n v="86"/>
    <n v="82"/>
    <m/>
    <m/>
    <m/>
    <n v="248"/>
    <n v="248"/>
  </r>
  <r>
    <s v="Andres Käär"/>
    <x v="9"/>
    <x v="0"/>
    <x v="6"/>
    <x v="0"/>
    <s v="10.09.23"/>
    <n v="97"/>
    <n v="97"/>
    <n v="96"/>
    <m/>
    <m/>
    <m/>
    <n v="290"/>
    <n v="290"/>
  </r>
  <r>
    <s v="Anti Jaas"/>
    <x v="11"/>
    <x v="0"/>
    <x v="6"/>
    <x v="0"/>
    <s v="10.09.23"/>
    <n v="91"/>
    <n v="81"/>
    <n v="78"/>
    <m/>
    <m/>
    <m/>
    <n v="250"/>
    <n v="250"/>
  </r>
  <r>
    <s v="Allar Mürk"/>
    <x v="13"/>
    <x v="0"/>
    <x v="6"/>
    <x v="0"/>
    <s v="10.09.23"/>
    <n v="79"/>
    <n v="80"/>
    <n v="82"/>
    <m/>
    <m/>
    <m/>
    <n v="241"/>
    <n v="241"/>
  </r>
  <r>
    <s v="Sulev Lomp"/>
    <x v="14"/>
    <x v="0"/>
    <x v="6"/>
    <x v="0"/>
    <s v="10.09.23"/>
    <n v="99"/>
    <n v="98"/>
    <n v="100"/>
    <m/>
    <m/>
    <m/>
    <n v="297"/>
    <n v="297"/>
  </r>
  <r>
    <s v="Olev Lomp"/>
    <x v="14"/>
    <x v="0"/>
    <x v="6"/>
    <x v="1"/>
    <s v="10.09.23"/>
    <n v="98"/>
    <n v="99"/>
    <n v="96"/>
    <m/>
    <m/>
    <m/>
    <n v="293"/>
    <m/>
  </r>
  <r>
    <s v="Daimar Elp"/>
    <x v="14"/>
    <x v="0"/>
    <x v="6"/>
    <x v="1"/>
    <s v="10.09.23"/>
    <n v="84"/>
    <n v="88"/>
    <n v="88"/>
    <m/>
    <m/>
    <m/>
    <n v="260"/>
    <m/>
  </r>
  <r>
    <s v="Tõnu Rummo"/>
    <x v="8"/>
    <x v="0"/>
    <x v="6"/>
    <x v="1"/>
    <s v="10.09.23"/>
    <n v="98"/>
    <n v="96"/>
    <n v="99"/>
    <m/>
    <m/>
    <m/>
    <n v="293"/>
    <m/>
  </r>
  <r>
    <s v="Peeter Pops"/>
    <x v="8"/>
    <x v="0"/>
    <x v="6"/>
    <x v="0"/>
    <s v="10.09.23"/>
    <n v="98"/>
    <n v="100"/>
    <n v="97"/>
    <m/>
    <m/>
    <m/>
    <n v="295"/>
    <n v="295"/>
  </r>
  <r>
    <s v="Ain Pajo"/>
    <x v="15"/>
    <x v="0"/>
    <x v="6"/>
    <x v="0"/>
    <s v="10.09.23"/>
    <n v="60"/>
    <n v="79"/>
    <n v="69"/>
    <m/>
    <m/>
    <m/>
    <n v="208"/>
    <n v="208"/>
  </r>
  <r>
    <s v="Priit Avarmaa"/>
    <x v="4"/>
    <x v="0"/>
    <x v="6"/>
    <x v="1"/>
    <s v="09.09.23"/>
    <n v="78"/>
    <n v="80"/>
    <n v="82"/>
    <m/>
    <m/>
    <m/>
    <n v="240"/>
    <m/>
  </r>
  <r>
    <s v="Lembit Mitt"/>
    <x v="6"/>
    <x v="0"/>
    <x v="6"/>
    <x v="0"/>
    <s v="09.09.23"/>
    <n v="73"/>
    <n v="75"/>
    <n v="73"/>
    <m/>
    <m/>
    <m/>
    <n v="221"/>
    <n v="221"/>
  </r>
  <r>
    <s v="Marko Ender"/>
    <x v="10"/>
    <x v="0"/>
    <x v="6"/>
    <x v="0"/>
    <s v="10.09.23"/>
    <n v="87"/>
    <n v="93"/>
    <n v="86"/>
    <m/>
    <m/>
    <m/>
    <n v="266"/>
    <n v="266"/>
  </r>
  <r>
    <s v="Marko Suurmäe"/>
    <x v="12"/>
    <x v="0"/>
    <x v="6"/>
    <x v="0"/>
    <s v="10.09.23"/>
    <n v="67"/>
    <n v="81"/>
    <n v="90"/>
    <m/>
    <m/>
    <m/>
    <n v="238"/>
    <n v="238"/>
  </r>
  <r>
    <s v="Vladislav Lušin"/>
    <x v="0"/>
    <x v="0"/>
    <x v="7"/>
    <x v="0"/>
    <s v="09.09.23"/>
    <n v="96"/>
    <n v="95"/>
    <n v="97"/>
    <n v="95"/>
    <n v="91"/>
    <n v="88"/>
    <n v="562"/>
    <n v="281"/>
  </r>
  <r>
    <s v="Anastassia Olewicz"/>
    <x v="0"/>
    <x v="1"/>
    <x v="7"/>
    <x v="0"/>
    <s v="09.09.23"/>
    <n v="97"/>
    <n v="99"/>
    <n v="100"/>
    <n v="98"/>
    <n v="95"/>
    <n v="97"/>
    <n v="586"/>
    <n v="293"/>
  </r>
  <r>
    <s v="Artjom Plotnikov"/>
    <x v="0"/>
    <x v="2"/>
    <x v="7"/>
    <x v="0"/>
    <s v="09.09.23"/>
    <n v="85"/>
    <n v="93"/>
    <n v="98"/>
    <n v="96"/>
    <n v="86"/>
    <n v="82"/>
    <n v="540"/>
    <n v="270"/>
  </r>
  <r>
    <s v="Ksenia Ivanova"/>
    <x v="0"/>
    <x v="3"/>
    <x v="7"/>
    <x v="0"/>
    <s v="09.09.23"/>
    <n v="93"/>
    <n v="96"/>
    <n v="96"/>
    <n v="93"/>
    <n v="91"/>
    <n v="94"/>
    <n v="563"/>
    <n v="281.5"/>
  </r>
  <r>
    <s v="Meelis Kiisk"/>
    <x v="1"/>
    <x v="0"/>
    <x v="7"/>
    <x v="0"/>
    <s v="09.09.23"/>
    <n v="96"/>
    <n v="96"/>
    <n v="97"/>
    <n v="99"/>
    <n v="97"/>
    <n v="98"/>
    <n v="583"/>
    <n v="291.5"/>
  </r>
  <r>
    <s v="Liis Koger"/>
    <x v="1"/>
    <x v="1"/>
    <x v="7"/>
    <x v="0"/>
    <s v="09.09.23"/>
    <n v="76"/>
    <n v="80"/>
    <n v="97"/>
    <n v="86"/>
    <n v="78"/>
    <n v="76"/>
    <n v="493"/>
    <n v="246.5"/>
  </r>
  <r>
    <s v="Robi Abel"/>
    <x v="1"/>
    <x v="2"/>
    <x v="7"/>
    <x v="0"/>
    <s v="09.09.23"/>
    <n v="75"/>
    <n v="76"/>
    <n v="94"/>
    <n v="92"/>
    <n v="76"/>
    <n v="74"/>
    <n v="487"/>
    <n v="243.5"/>
  </r>
  <r>
    <s v="Kedy Kopti"/>
    <x v="1"/>
    <x v="3"/>
    <x v="7"/>
    <x v="0"/>
    <s v="09.09.23"/>
    <n v="72"/>
    <n v="76"/>
    <n v="86"/>
    <n v="95"/>
    <n v="61"/>
    <n v="50"/>
    <n v="440"/>
    <n v="220"/>
  </r>
  <r>
    <s v="Lauri Erm"/>
    <x v="2"/>
    <x v="0"/>
    <x v="7"/>
    <x v="0"/>
    <s v="09.09.23"/>
    <n v="94"/>
    <n v="97"/>
    <n v="96"/>
    <n v="100"/>
    <n v="90"/>
    <n v="94"/>
    <n v="571"/>
    <n v="285.5"/>
  </r>
  <r>
    <s v="Silver Juksaar"/>
    <x v="4"/>
    <x v="2"/>
    <x v="7"/>
    <x v="0"/>
    <s v="09.09.23"/>
    <n v="86"/>
    <n v="87"/>
    <n v="85"/>
    <n v="90"/>
    <n v="85"/>
    <n v="87"/>
    <n v="520"/>
    <n v="260"/>
  </r>
  <r>
    <s v="Karina Kotkas"/>
    <x v="4"/>
    <x v="1"/>
    <x v="7"/>
    <x v="0"/>
    <s v="09.09.23"/>
    <n v="93"/>
    <n v="90"/>
    <n v="98"/>
    <n v="95"/>
    <n v="89"/>
    <n v="92"/>
    <n v="557"/>
    <n v="278.5"/>
  </r>
  <r>
    <s v="Aare Väliste"/>
    <x v="4"/>
    <x v="0"/>
    <x v="7"/>
    <x v="0"/>
    <s v="09.09.23"/>
    <n v="91"/>
    <n v="92"/>
    <n v="95"/>
    <n v="94"/>
    <n v="88"/>
    <n v="86"/>
    <n v="546"/>
    <n v="273"/>
  </r>
  <r>
    <s v="Marta Pauliine Mihkelson"/>
    <x v="4"/>
    <x v="3"/>
    <x v="7"/>
    <x v="0"/>
    <s v="09.09.23"/>
    <n v="90"/>
    <n v="95"/>
    <n v="94"/>
    <n v="93"/>
    <n v="92"/>
    <n v="91"/>
    <n v="555"/>
    <n v="277.5"/>
  </r>
  <r>
    <s v="Kaur Laurimaa"/>
    <x v="6"/>
    <x v="0"/>
    <x v="7"/>
    <x v="0"/>
    <s v="09.09.23"/>
    <n v="90"/>
    <n v="91"/>
    <n v="94"/>
    <n v="94"/>
    <n v="89"/>
    <n v="91"/>
    <n v="549"/>
    <n v="274.5"/>
  </r>
  <r>
    <s v="Lisette Tafenau"/>
    <x v="6"/>
    <x v="3"/>
    <x v="7"/>
    <x v="0"/>
    <s v="09.09.23"/>
    <n v="86"/>
    <n v="86"/>
    <n v="91"/>
    <n v="90"/>
    <n v="63"/>
    <n v="74"/>
    <n v="490"/>
    <n v="245"/>
  </r>
  <r>
    <s v="Anžela Voronova"/>
    <x v="6"/>
    <x v="1"/>
    <x v="7"/>
    <x v="0"/>
    <s v="09.09.23"/>
    <n v="97"/>
    <n v="96"/>
    <n v="98"/>
    <n v="100"/>
    <n v="94"/>
    <n v="90"/>
    <n v="575"/>
    <n v="287.5"/>
  </r>
  <r>
    <s v="Ljudmila Kortšagina"/>
    <x v="6"/>
    <x v="1"/>
    <x v="7"/>
    <x v="1"/>
    <s v="09.09.23"/>
    <n v="94"/>
    <n v="98"/>
    <n v="96"/>
    <n v="98"/>
    <n v="89"/>
    <n v="85"/>
    <n v="560"/>
    <m/>
  </r>
  <r>
    <s v="Anett Moor"/>
    <x v="9"/>
    <x v="3"/>
    <x v="7"/>
    <x v="0"/>
    <s v="10.09.23"/>
    <n v="90"/>
    <n v="91"/>
    <n v="94"/>
    <n v="96"/>
    <n v="86"/>
    <n v="92"/>
    <n v="549"/>
    <n v="274.5"/>
  </r>
  <r>
    <s v="Annika Sarna"/>
    <x v="9"/>
    <x v="3"/>
    <x v="7"/>
    <x v="1"/>
    <s v="10.09.23"/>
    <n v="88"/>
    <n v="90"/>
    <n v="93"/>
    <n v="96"/>
    <n v="82"/>
    <n v="80"/>
    <n v="529"/>
    <m/>
  </r>
  <r>
    <s v="Tanel Moor"/>
    <x v="9"/>
    <x v="2"/>
    <x v="7"/>
    <x v="0"/>
    <s v="10.09.23"/>
    <n v="87"/>
    <n v="90"/>
    <n v="95"/>
    <n v="95"/>
    <n v="78"/>
    <n v="78"/>
    <n v="523"/>
    <n v="261.5"/>
  </r>
  <r>
    <s v="Raigo Pärnapuu"/>
    <x v="10"/>
    <x v="0"/>
    <x v="7"/>
    <x v="0"/>
    <s v="10.09.23"/>
    <n v="92"/>
    <n v="90"/>
    <n v="94"/>
    <n v="93"/>
    <n v="88"/>
    <n v="86"/>
    <n v="543"/>
    <n v="271.5"/>
  </r>
  <r>
    <s v="Ave Larionova"/>
    <x v="10"/>
    <x v="1"/>
    <x v="7"/>
    <x v="0"/>
    <s v="10.09.23"/>
    <n v="74"/>
    <n v="77"/>
    <n v="91"/>
    <n v="93"/>
    <n v="71"/>
    <n v="58"/>
    <n v="464"/>
    <n v="232"/>
  </r>
  <r>
    <s v="Martin Sinisaar"/>
    <x v="10"/>
    <x v="2"/>
    <x v="7"/>
    <x v="0"/>
    <s v="10.09.23"/>
    <n v="82"/>
    <n v="85"/>
    <n v="83"/>
    <n v="80"/>
    <n v="38"/>
    <n v="47"/>
    <n v="415"/>
    <n v="207.5"/>
  </r>
  <r>
    <s v="Gertlin Kanarbik"/>
    <x v="10"/>
    <x v="3"/>
    <x v="7"/>
    <x v="0"/>
    <s v="10.09.23"/>
    <n v="84"/>
    <n v="77"/>
    <n v="83"/>
    <n v="85"/>
    <n v="51"/>
    <n v="74"/>
    <n v="454"/>
    <n v="227"/>
  </r>
  <r>
    <s v="Greg Mattias Murumets"/>
    <x v="11"/>
    <x v="0"/>
    <x v="7"/>
    <x v="0"/>
    <s v="10.09.23"/>
    <n v="88"/>
    <n v="84"/>
    <n v="93"/>
    <n v="92"/>
    <n v="80"/>
    <n v="70"/>
    <n v="507"/>
    <n v="253.5"/>
  </r>
  <r>
    <s v="Sigrid Lutsar"/>
    <x v="11"/>
    <x v="1"/>
    <x v="7"/>
    <x v="0"/>
    <s v="10.09.23"/>
    <n v="84"/>
    <n v="79"/>
    <n v="92"/>
    <n v="91"/>
    <n v="71"/>
    <n v="68"/>
    <n v="485"/>
    <n v="242.5"/>
  </r>
  <r>
    <s v="Kaspar Viiron"/>
    <x v="12"/>
    <x v="0"/>
    <x v="7"/>
    <x v="0"/>
    <s v="10.09.23"/>
    <n v="89"/>
    <n v="91"/>
    <n v="96"/>
    <n v="97"/>
    <n v="78"/>
    <n v="83"/>
    <n v="534"/>
    <n v="267"/>
  </r>
  <r>
    <s v="Susanna Sule"/>
    <x v="12"/>
    <x v="1"/>
    <x v="7"/>
    <x v="0"/>
    <s v="10.09.23"/>
    <n v="96"/>
    <n v="95"/>
    <n v="95"/>
    <n v="96"/>
    <n v="92"/>
    <n v="94"/>
    <n v="568"/>
    <n v="284"/>
  </r>
  <r>
    <s v="Katrin Mirtel Tutt"/>
    <x v="12"/>
    <x v="3"/>
    <x v="7"/>
    <x v="0"/>
    <s v="10.09.23"/>
    <n v="83"/>
    <n v="86"/>
    <n v="95"/>
    <n v="97"/>
    <n v="87"/>
    <n v="82"/>
    <n v="530"/>
    <n v="265"/>
  </r>
  <r>
    <s v="Markko Kirsti"/>
    <x v="13"/>
    <x v="1"/>
    <x v="7"/>
    <x v="0"/>
    <s v="10.09.23"/>
    <n v="89"/>
    <n v="88"/>
    <n v="96"/>
    <n v="94"/>
    <n v="76"/>
    <n v="75"/>
    <n v="518"/>
    <n v="259"/>
  </r>
  <r>
    <s v="Reimo Jürjo"/>
    <x v="13"/>
    <x v="2"/>
    <x v="7"/>
    <x v="0"/>
    <s v="10.09.23"/>
    <n v="87"/>
    <n v="75"/>
    <n v="92"/>
    <n v="88"/>
    <n v="59"/>
    <n v="53"/>
    <n v="454"/>
    <n v="227"/>
  </r>
  <r>
    <s v="Anete Mozgovoi"/>
    <x v="13"/>
    <x v="3"/>
    <x v="7"/>
    <x v="0"/>
    <s v="10.09.23"/>
    <n v="74"/>
    <n v="57"/>
    <n v="81"/>
    <n v="80"/>
    <n v="48"/>
    <n v="34"/>
    <n v="374"/>
    <n v="187"/>
  </r>
  <r>
    <s v="Markko Aarne"/>
    <x v="13"/>
    <x v="0"/>
    <x v="7"/>
    <x v="0"/>
    <s v="10.09.23"/>
    <n v="90"/>
    <n v="92"/>
    <n v="96"/>
    <n v="98"/>
    <n v="72"/>
    <n v="75"/>
    <n v="523"/>
    <n v="261.5"/>
  </r>
  <r>
    <s v="Kristofer-Jaago Kivari"/>
    <x v="14"/>
    <x v="0"/>
    <x v="7"/>
    <x v="1"/>
    <s v="10.09.23"/>
    <n v="92"/>
    <n v="92"/>
    <n v="95"/>
    <n v="96"/>
    <n v="91"/>
    <n v="88"/>
    <n v="554"/>
    <m/>
  </r>
  <r>
    <s v="Kahru Männik"/>
    <x v="14"/>
    <x v="0"/>
    <x v="7"/>
    <x v="0"/>
    <s v="10.09.23"/>
    <n v="96"/>
    <n v="97"/>
    <n v="99"/>
    <n v="98"/>
    <n v="89"/>
    <n v="86"/>
    <n v="565"/>
    <n v="282.5"/>
  </r>
  <r>
    <s v="Keio Essa"/>
    <x v="14"/>
    <x v="2"/>
    <x v="7"/>
    <x v="0"/>
    <s v="10.09.23"/>
    <n v="80"/>
    <n v="87"/>
    <n v="94"/>
    <n v="91"/>
    <n v="64"/>
    <n v="59"/>
    <n v="475"/>
    <n v="237.5"/>
  </r>
  <r>
    <s v="Marianne Tavits"/>
    <x v="14"/>
    <x v="1"/>
    <x v="7"/>
    <x v="0"/>
    <s v="10.09.23"/>
    <n v="95"/>
    <n v="93"/>
    <n v="97"/>
    <n v="99"/>
    <n v="91"/>
    <n v="96"/>
    <n v="571"/>
    <n v="285.5"/>
  </r>
  <r>
    <s v="Kristina Mölder"/>
    <x v="14"/>
    <x v="3"/>
    <x v="7"/>
    <x v="0"/>
    <s v="10.09.23"/>
    <n v="95"/>
    <n v="98"/>
    <n v="98"/>
    <n v="90"/>
    <n v="87"/>
    <n v="93"/>
    <n v="561"/>
    <n v="280.5"/>
  </r>
  <r>
    <s v="Meelis Kask"/>
    <x v="8"/>
    <x v="0"/>
    <x v="7"/>
    <x v="0"/>
    <s v="10.09.23"/>
    <n v="90"/>
    <n v="97"/>
    <n v="96"/>
    <n v="97"/>
    <n v="87"/>
    <n v="81"/>
    <n v="548"/>
    <n v="274"/>
  </r>
  <r>
    <s v="Aili Vakker"/>
    <x v="8"/>
    <x v="1"/>
    <x v="7"/>
    <x v="0"/>
    <s v="10.09.23"/>
    <n v="74"/>
    <n v="68"/>
    <n v="79"/>
    <n v="71"/>
    <n v="27"/>
    <n v="33"/>
    <n v="352"/>
    <n v="176"/>
  </r>
  <r>
    <s v="Argo Larionov"/>
    <x v="8"/>
    <x v="2"/>
    <x v="7"/>
    <x v="0"/>
    <s v="10.09.23"/>
    <n v="81"/>
    <n v="88"/>
    <n v="93"/>
    <n v="89"/>
    <n v="68"/>
    <n v="71"/>
    <n v="490"/>
    <n v="245"/>
  </r>
  <r>
    <s v="Pilleriin Vaarik"/>
    <x v="8"/>
    <x v="3"/>
    <x v="7"/>
    <x v="0"/>
    <s v="10.09.23"/>
    <n v="85"/>
    <n v="88"/>
    <n v="90"/>
    <n v="92"/>
    <n v="78"/>
    <n v="74"/>
    <n v="507"/>
    <n v="253.5"/>
  </r>
  <r>
    <s v="Mattias-Oliver Oja"/>
    <x v="15"/>
    <x v="2"/>
    <x v="7"/>
    <x v="0"/>
    <s v="10.09.23"/>
    <n v="52"/>
    <n v="45"/>
    <n v="85"/>
    <n v="91"/>
    <n v="30"/>
    <n v="40"/>
    <n v="343"/>
    <n v="171.5"/>
  </r>
  <r>
    <s v="Katrin Kaarna"/>
    <x v="15"/>
    <x v="3"/>
    <x v="7"/>
    <x v="0"/>
    <s v="10.09.23"/>
    <n v="71"/>
    <n v="67"/>
    <n v="84"/>
    <n v="80"/>
    <n v="59"/>
    <n v="45"/>
    <n v="406"/>
    <n v="203"/>
  </r>
  <r>
    <s v="Mikk Mustmaa"/>
    <x v="15"/>
    <x v="0"/>
    <x v="7"/>
    <x v="0"/>
    <s v="10.09.23"/>
    <n v="63"/>
    <n v="54"/>
    <n v="89"/>
    <n v="89"/>
    <n v="43"/>
    <n v="58"/>
    <n v="396"/>
    <n v="198"/>
  </r>
  <r>
    <s v="Kaisa Sikk"/>
    <x v="15"/>
    <x v="1"/>
    <x v="7"/>
    <x v="0"/>
    <s v="10.09.23"/>
    <n v="86"/>
    <n v="75"/>
    <n v="100"/>
    <n v="92"/>
    <n v="76"/>
    <n v="71"/>
    <n v="500"/>
    <n v="250"/>
  </r>
  <r>
    <s v="Ain Muru"/>
    <x v="6"/>
    <x v="0"/>
    <x v="7"/>
    <x v="1"/>
    <s v="09.09.23"/>
    <n v="94"/>
    <n v="91"/>
    <n v="95"/>
    <n v="95"/>
    <n v="90"/>
    <n v="89"/>
    <n v="554"/>
    <m/>
  </r>
  <r>
    <s v="Ardon Neostus"/>
    <x v="0"/>
    <x v="4"/>
    <x v="8"/>
    <x v="0"/>
    <s v="09.09.23"/>
    <n v="91.2"/>
    <n v="95.1"/>
    <n v="98.1"/>
    <m/>
    <m/>
    <m/>
    <n v="284.39999999999998"/>
    <n v="284.39999999999998"/>
  </r>
  <r>
    <s v="Valeria Safronova NJ"/>
    <x v="0"/>
    <x v="3"/>
    <x v="8"/>
    <x v="1"/>
    <s v="09.09.23"/>
    <n v="101.1"/>
    <n v="101.3"/>
    <n v="103.3"/>
    <m/>
    <m/>
    <m/>
    <n v="305.7"/>
    <m/>
  </r>
  <r>
    <s v="Andri Männe"/>
    <x v="0"/>
    <x v="2"/>
    <x v="8"/>
    <x v="1"/>
    <s v="09.09.23"/>
    <n v="97.5"/>
    <n v="98.3"/>
    <n v="99.7"/>
    <m/>
    <m/>
    <m/>
    <n v="295.5"/>
    <m/>
  </r>
  <r>
    <s v="Valeria Safronova"/>
    <x v="0"/>
    <x v="5"/>
    <x v="8"/>
    <x v="0"/>
    <s v="09.09.23"/>
    <n v="100.6"/>
    <n v="101.2"/>
    <n v="100.4"/>
    <m/>
    <m/>
    <m/>
    <n v="302.20000000000005"/>
    <n v="302.20000000000005"/>
  </r>
  <r>
    <s v="Jekaterina Issatšenkova"/>
    <x v="0"/>
    <x v="3"/>
    <x v="8"/>
    <x v="0"/>
    <s v="09.09.23"/>
    <n v="99.4"/>
    <n v="100.4"/>
    <n v="102.1"/>
    <m/>
    <m/>
    <m/>
    <n v="301.89999999999998"/>
    <n v="301.89999999999998"/>
  </r>
  <r>
    <s v="Arina Jefimova"/>
    <x v="0"/>
    <x v="5"/>
    <x v="8"/>
    <x v="1"/>
    <s v="09.09.23"/>
    <n v="100.8"/>
    <n v="101.4"/>
    <n v="101.1"/>
    <m/>
    <m/>
    <m/>
    <n v="303.29999999999995"/>
    <m/>
  </r>
  <r>
    <s v="Kertu Puštšenko"/>
    <x v="0"/>
    <x v="3"/>
    <x v="8"/>
    <x v="1"/>
    <s v="09.09.23"/>
    <n v="94"/>
    <n v="94.5"/>
    <n v="91.7"/>
    <m/>
    <m/>
    <m/>
    <n v="280.2"/>
    <m/>
  </r>
  <r>
    <s v="Andrei Mihhailov"/>
    <x v="0"/>
    <x v="0"/>
    <x v="8"/>
    <x v="0"/>
    <s v="09.09.23"/>
    <n v="102.2"/>
    <n v="104.5"/>
    <n v="100.6"/>
    <m/>
    <m/>
    <m/>
    <n v="307.29999999999995"/>
    <n v="307.29999999999995"/>
  </r>
  <r>
    <s v="Valeria Škabara"/>
    <x v="0"/>
    <x v="1"/>
    <x v="8"/>
    <x v="0"/>
    <s v="09.09.23"/>
    <n v="99.1"/>
    <n v="103.4"/>
    <n v="104.1"/>
    <m/>
    <m/>
    <m/>
    <n v="306.60000000000002"/>
    <n v="306.60000000000002"/>
  </r>
  <r>
    <s v="Jegor Jakovlev"/>
    <x v="0"/>
    <x v="2"/>
    <x v="8"/>
    <x v="0"/>
    <s v="09.09.23"/>
    <n v="100.8"/>
    <n v="97.2"/>
    <n v="102.6"/>
    <m/>
    <m/>
    <m/>
    <n v="300.60000000000002"/>
    <n v="300.60000000000002"/>
  </r>
  <r>
    <s v="Piret Saul"/>
    <x v="1"/>
    <x v="1"/>
    <x v="8"/>
    <x v="0"/>
    <s v="09.09.23"/>
    <n v="94.5"/>
    <n v="96.3"/>
    <n v="85.3"/>
    <m/>
    <m/>
    <m/>
    <n v="276.10000000000002"/>
    <n v="276.10000000000002"/>
  </r>
  <r>
    <s v="Meelis Kiisk"/>
    <x v="1"/>
    <x v="0"/>
    <x v="8"/>
    <x v="0"/>
    <s v="09.09.23"/>
    <n v="104.2"/>
    <n v="103.6"/>
    <n v="105.4"/>
    <m/>
    <m/>
    <m/>
    <n v="313.20000000000005"/>
    <n v="313.20000000000005"/>
  </r>
  <r>
    <s v="Robi Abel"/>
    <x v="1"/>
    <x v="2"/>
    <x v="8"/>
    <x v="0"/>
    <s v="09.09.23"/>
    <n v="96.3"/>
    <n v="93.6"/>
    <n v="93.6"/>
    <m/>
    <m/>
    <m/>
    <n v="283.5"/>
    <n v="283.5"/>
  </r>
  <r>
    <s v="Riste-Helene Pard"/>
    <x v="1"/>
    <x v="3"/>
    <x v="8"/>
    <x v="0"/>
    <s v="09.09.23"/>
    <n v="85.8"/>
    <n v="86.5"/>
    <n v="90.2"/>
    <m/>
    <m/>
    <m/>
    <n v="262.5"/>
    <n v="262.5"/>
  </r>
  <r>
    <s v="Kaspar Pettai"/>
    <x v="1"/>
    <x v="4"/>
    <x v="8"/>
    <x v="0"/>
    <s v="09.09.23"/>
    <n v="101.8"/>
    <n v="100.2"/>
    <n v="102.4"/>
    <m/>
    <m/>
    <m/>
    <n v="304.39999999999998"/>
    <n v="304.39999999999998"/>
  </r>
  <r>
    <s v="Riti Põder"/>
    <x v="1"/>
    <x v="5"/>
    <x v="8"/>
    <x v="0"/>
    <s v="09.09.23"/>
    <n v="102.5"/>
    <n v="101.3"/>
    <n v="102.8"/>
    <m/>
    <m/>
    <m/>
    <n v="306.60000000000002"/>
    <n v="306.60000000000002"/>
  </r>
  <r>
    <s v="Daimar Liiv"/>
    <x v="2"/>
    <x v="0"/>
    <x v="8"/>
    <x v="0"/>
    <s v="09.09.23"/>
    <n v="97.9"/>
    <n v="98.4"/>
    <n v="99.1"/>
    <m/>
    <m/>
    <m/>
    <n v="295.39999999999998"/>
    <n v="295.39999999999998"/>
  </r>
  <r>
    <s v="Katrin Leppik"/>
    <x v="2"/>
    <x v="1"/>
    <x v="8"/>
    <x v="0"/>
    <s v="09.09.23"/>
    <n v="94.2"/>
    <n v="93.7"/>
    <n v="93.2"/>
    <m/>
    <m/>
    <m/>
    <n v="281.10000000000002"/>
    <n v="281.10000000000002"/>
  </r>
  <r>
    <s v="Angelika Kasesalu"/>
    <x v="4"/>
    <x v="5"/>
    <x v="8"/>
    <x v="0"/>
    <s v="09.09.23"/>
    <n v="90"/>
    <n v="96.2"/>
    <n v="86.8"/>
    <m/>
    <m/>
    <m/>
    <n v="273"/>
    <n v="273"/>
  </r>
  <r>
    <s v="Kennet Kalda"/>
    <x v="4"/>
    <x v="2"/>
    <x v="8"/>
    <x v="0"/>
    <s v="09.09.23"/>
    <n v="95.5"/>
    <n v="95.2"/>
    <n v="98.7"/>
    <m/>
    <m/>
    <m/>
    <n v="289.39999999999998"/>
    <n v="289.39999999999998"/>
  </r>
  <r>
    <s v="Marta Pauliine Mihkelson"/>
    <x v="4"/>
    <x v="3"/>
    <x v="8"/>
    <x v="0"/>
    <s v="09.09.23"/>
    <n v="100.2"/>
    <n v="100.4"/>
    <n v="98.6"/>
    <m/>
    <m/>
    <m/>
    <n v="299.20000000000005"/>
    <n v="299.20000000000005"/>
  </r>
  <r>
    <s v="Sven Leit-Teetlaus"/>
    <x v="4"/>
    <x v="0"/>
    <x v="8"/>
    <x v="0"/>
    <s v="09.09.23"/>
    <n v="98.8"/>
    <n v="94.1"/>
    <n v="92.4"/>
    <m/>
    <m/>
    <m/>
    <n v="285.29999999999995"/>
    <n v="285.29999999999995"/>
  </r>
  <r>
    <s v="Karina Kotkas"/>
    <x v="4"/>
    <x v="1"/>
    <x v="8"/>
    <x v="0"/>
    <s v="09.09.23"/>
    <n v="102.8"/>
    <n v="102.1"/>
    <n v="102.7"/>
    <m/>
    <m/>
    <m/>
    <n v="307.59999999999997"/>
    <n v="307.59999999999997"/>
  </r>
  <r>
    <s v="Markus Minn"/>
    <x v="4"/>
    <x v="4"/>
    <x v="8"/>
    <x v="0"/>
    <s v="09.09.23"/>
    <n v="103.8"/>
    <n v="101"/>
    <n v="102.8"/>
    <m/>
    <m/>
    <m/>
    <n v="307.60000000000002"/>
    <n v="307.60000000000002"/>
  </r>
  <r>
    <s v="Neeme Virveste"/>
    <x v="5"/>
    <x v="0"/>
    <x v="8"/>
    <x v="0"/>
    <s v="09.09.23"/>
    <n v="101.6"/>
    <n v="101.6"/>
    <n v="101.6"/>
    <m/>
    <m/>
    <m/>
    <n v="304.79999999999995"/>
    <n v="304.79999999999995"/>
  </r>
  <r>
    <s v="Mendi Kallavus"/>
    <x v="5"/>
    <x v="1"/>
    <x v="8"/>
    <x v="0"/>
    <s v="09.09.23"/>
    <n v="95.7"/>
    <n v="97.6"/>
    <n v="93.2"/>
    <m/>
    <m/>
    <m/>
    <n v="286.5"/>
    <n v="286.5"/>
  </r>
  <r>
    <s v="Liisi Preedin"/>
    <x v="5"/>
    <x v="1"/>
    <x v="8"/>
    <x v="1"/>
    <s v="09.09.23"/>
    <n v="98.9"/>
    <n v="96.3"/>
    <n v="97.6"/>
    <m/>
    <m/>
    <m/>
    <n v="292.79999999999995"/>
    <m/>
  </r>
  <r>
    <s v="Svetlana Doledutko"/>
    <x v="6"/>
    <x v="1"/>
    <x v="8"/>
    <x v="0"/>
    <s v="09.09.23"/>
    <n v="102.6"/>
    <n v="104.5"/>
    <n v="101.3"/>
    <m/>
    <m/>
    <m/>
    <n v="308.39999999999998"/>
    <n v="308.39999999999998"/>
  </r>
  <r>
    <s v="Edik Koppelmann"/>
    <x v="6"/>
    <x v="0"/>
    <x v="8"/>
    <x v="0"/>
    <s v="09.09.23"/>
    <n v="103.6"/>
    <n v="105.7"/>
    <n v="100.7"/>
    <m/>
    <m/>
    <m/>
    <n v="310"/>
    <n v="310"/>
  </r>
  <r>
    <s v="Tirk Märss"/>
    <x v="6"/>
    <x v="2"/>
    <x v="8"/>
    <x v="0"/>
    <s v="09.09.23"/>
    <n v="93.6"/>
    <n v="87.6"/>
    <n v="93"/>
    <m/>
    <m/>
    <m/>
    <n v="274.2"/>
    <n v="274.2"/>
  </r>
  <r>
    <s v="Adeele Koppelmann"/>
    <x v="6"/>
    <x v="5"/>
    <x v="8"/>
    <x v="0"/>
    <s v="09.09.23"/>
    <n v="99.8"/>
    <n v="101.8"/>
    <n v="102"/>
    <m/>
    <m/>
    <m/>
    <n v="303.60000000000002"/>
    <n v="303.60000000000002"/>
  </r>
  <r>
    <s v="Urmas Siir"/>
    <x v="6"/>
    <x v="4"/>
    <x v="8"/>
    <x v="0"/>
    <s v="09.09.23"/>
    <n v="99.6"/>
    <n v="98"/>
    <n v="97.6"/>
    <m/>
    <m/>
    <m/>
    <n v="295.2"/>
    <n v="295.2"/>
  </r>
  <r>
    <s v="Kristiina Sammal"/>
    <x v="6"/>
    <x v="3"/>
    <x v="8"/>
    <x v="0"/>
    <s v="09.09.23"/>
    <n v="96.4"/>
    <n v="98.3"/>
    <n v="95.6"/>
    <m/>
    <m/>
    <m/>
    <n v="290.29999999999995"/>
    <n v="290.29999999999995"/>
  </r>
  <r>
    <s v="Anžela Voronova"/>
    <x v="6"/>
    <x v="1"/>
    <x v="8"/>
    <x v="1"/>
    <s v="09.09.23"/>
    <n v="104.1"/>
    <n v="102.9"/>
    <n v="100.9"/>
    <m/>
    <m/>
    <m/>
    <n v="307.89999999999998"/>
    <m/>
  </r>
  <r>
    <s v="Rando Köster"/>
    <x v="4"/>
    <x v="0"/>
    <x v="8"/>
    <x v="1"/>
    <s v="09.09.23"/>
    <n v="83.2"/>
    <n v="95.7"/>
    <n v="101.2"/>
    <m/>
    <m/>
    <m/>
    <n v="280.10000000000002"/>
    <m/>
  </r>
  <r>
    <s v="Riho Ühtegi"/>
    <x v="3"/>
    <x v="0"/>
    <x v="8"/>
    <x v="1"/>
    <s v="09.09.23"/>
    <n v="98.1"/>
    <n v="98.9"/>
    <n v="97.9"/>
    <m/>
    <m/>
    <m/>
    <n v="294.89999999999998"/>
    <m/>
  </r>
  <r>
    <s v="Kermo Rea"/>
    <x v="9"/>
    <x v="2"/>
    <x v="8"/>
    <x v="0"/>
    <s v="10.09.23"/>
    <n v="95.9"/>
    <n v="100.9"/>
    <n v="97"/>
    <m/>
    <m/>
    <m/>
    <n v="293.8"/>
    <n v="293.8"/>
  </r>
  <r>
    <s v="Külli Sarna"/>
    <x v="9"/>
    <x v="1"/>
    <x v="8"/>
    <x v="1"/>
    <s v="10.09.23"/>
    <n v="93.5"/>
    <n v="93"/>
    <n v="98.2"/>
    <m/>
    <m/>
    <m/>
    <n v="284.7"/>
    <m/>
  </r>
  <r>
    <s v="Piret Grossthal"/>
    <x v="9"/>
    <x v="1"/>
    <x v="8"/>
    <x v="0"/>
    <s v="10.09.23"/>
    <n v="101.1"/>
    <n v="98"/>
    <n v="94.2"/>
    <m/>
    <m/>
    <m/>
    <n v="293.3"/>
    <n v="293.3"/>
  </r>
  <r>
    <s v="Annika Sarna"/>
    <x v="9"/>
    <x v="3"/>
    <x v="8"/>
    <x v="0"/>
    <s v="10.09.23"/>
    <n v="103.5"/>
    <n v="99.2"/>
    <n v="95.4"/>
    <m/>
    <m/>
    <m/>
    <n v="298.10000000000002"/>
    <n v="298.10000000000002"/>
  </r>
  <r>
    <s v="Jaanus Nõmmisto"/>
    <x v="10"/>
    <x v="0"/>
    <x v="8"/>
    <x v="0"/>
    <s v="10.09.23"/>
    <n v="90.8"/>
    <n v="87.5"/>
    <n v="83.1"/>
    <m/>
    <m/>
    <m/>
    <n v="261.39999999999998"/>
    <n v="261.39999999999998"/>
  </r>
  <r>
    <s v="Margareth Kampmann"/>
    <x v="10"/>
    <x v="1"/>
    <x v="8"/>
    <x v="0"/>
    <s v="10.09.23"/>
    <n v="94.2"/>
    <n v="93.5"/>
    <n v="96.9"/>
    <m/>
    <m/>
    <m/>
    <n v="284.60000000000002"/>
    <n v="284.60000000000002"/>
  </r>
  <r>
    <s v="Marion Meister"/>
    <x v="10"/>
    <x v="3"/>
    <x v="8"/>
    <x v="0"/>
    <s v="10.09.23"/>
    <n v="83.7"/>
    <n v="73.900000000000006"/>
    <n v="69.5"/>
    <m/>
    <m/>
    <m/>
    <n v="227.10000000000002"/>
    <n v="227.10000000000002"/>
  </r>
  <r>
    <s v="Lili-Marleen Tooming"/>
    <x v="10"/>
    <x v="3"/>
    <x v="8"/>
    <x v="1"/>
    <s v="10.09.23"/>
    <n v="97.6"/>
    <n v="95"/>
    <n v="98.2"/>
    <m/>
    <m/>
    <m/>
    <n v="290.8"/>
    <m/>
  </r>
  <r>
    <s v="Ruuben Jaanisk"/>
    <x v="10"/>
    <x v="2"/>
    <x v="8"/>
    <x v="0"/>
    <s v="10.09.23"/>
    <n v="96.8"/>
    <n v="90.5"/>
    <n v="95.4"/>
    <m/>
    <m/>
    <m/>
    <n v="282.70000000000005"/>
    <n v="282.70000000000005"/>
  </r>
  <r>
    <s v="Raimond Vahtra"/>
    <x v="10"/>
    <x v="4"/>
    <x v="8"/>
    <x v="0"/>
    <s v="10.09.23"/>
    <n v="94.7"/>
    <n v="95.7"/>
    <n v="100.8"/>
    <m/>
    <m/>
    <m/>
    <n v="291.2"/>
    <n v="291.2"/>
  </r>
  <r>
    <s v="Alexia Klis"/>
    <x v="10"/>
    <x v="5"/>
    <x v="8"/>
    <x v="0"/>
    <s v="10.09.23"/>
    <n v="95.2"/>
    <n v="91"/>
    <n v="92.6"/>
    <m/>
    <m/>
    <m/>
    <n v="278.79999999999995"/>
    <n v="278.79999999999995"/>
  </r>
  <r>
    <s v="Aivar Kuhi"/>
    <x v="11"/>
    <x v="0"/>
    <x v="8"/>
    <x v="0"/>
    <s v="10.09.23"/>
    <n v="99.8"/>
    <n v="102.8"/>
    <n v="101.6"/>
    <m/>
    <m/>
    <m/>
    <n v="304.2"/>
    <n v="304.2"/>
  </r>
  <r>
    <s v="Carmen Kägo"/>
    <x v="11"/>
    <x v="1"/>
    <x v="8"/>
    <x v="0"/>
    <s v="10.09.23"/>
    <n v="86.1"/>
    <n v="97.6"/>
    <n v="93.2"/>
    <m/>
    <m/>
    <m/>
    <n v="276.89999999999998"/>
    <n v="276.89999999999998"/>
  </r>
  <r>
    <s v="Karmo Kosk"/>
    <x v="11"/>
    <x v="2"/>
    <x v="8"/>
    <x v="0"/>
    <s v="10.09.23"/>
    <n v="86.3"/>
    <n v="85.1"/>
    <n v="88.5"/>
    <m/>
    <m/>
    <m/>
    <n v="259.89999999999998"/>
    <n v="259.89999999999998"/>
  </r>
  <r>
    <s v="Reti-Karlota Rebane"/>
    <x v="11"/>
    <x v="3"/>
    <x v="8"/>
    <x v="0"/>
    <s v="10.09.23"/>
    <n v="96.7"/>
    <n v="93.2"/>
    <n v="96.4"/>
    <m/>
    <m/>
    <m/>
    <n v="286.3"/>
    <n v="286.3"/>
  </r>
  <r>
    <s v="Eliise Näks"/>
    <x v="11"/>
    <x v="5"/>
    <x v="8"/>
    <x v="0"/>
    <s v="10.09.23"/>
    <n v="86.4"/>
    <n v="89.3"/>
    <n v="83.3"/>
    <m/>
    <m/>
    <m/>
    <n v="259"/>
    <n v="259"/>
  </r>
  <r>
    <s v="Katrin Mirtel Tutt"/>
    <x v="12"/>
    <x v="3"/>
    <x v="8"/>
    <x v="0"/>
    <s v="10.09.23"/>
    <n v="97.7"/>
    <n v="97.7"/>
    <n v="97.3"/>
    <m/>
    <m/>
    <m/>
    <n v="292.7"/>
    <n v="292.7"/>
  </r>
  <r>
    <s v="Liivi Erm"/>
    <x v="12"/>
    <x v="1"/>
    <x v="8"/>
    <x v="0"/>
    <s v="10.09.23"/>
    <n v="100.2"/>
    <n v="102.8"/>
    <n v="98.4"/>
    <m/>
    <m/>
    <m/>
    <n v="301.39999999999998"/>
    <n v="301.39999999999998"/>
  </r>
  <r>
    <s v="MatisFred Tutt"/>
    <x v="12"/>
    <x v="2"/>
    <x v="8"/>
    <x v="0"/>
    <s v="10.09.23"/>
    <n v="95.3"/>
    <n v="95.4"/>
    <n v="93.4"/>
    <m/>
    <m/>
    <m/>
    <n v="284.10000000000002"/>
    <n v="284.10000000000002"/>
  </r>
  <r>
    <s v="Taavi Talvoja"/>
    <x v="12"/>
    <x v="4"/>
    <x v="8"/>
    <x v="0"/>
    <s v="10.09.23"/>
    <n v="89.8"/>
    <n v="95.8"/>
    <n v="93.5"/>
    <m/>
    <m/>
    <m/>
    <n v="279.10000000000002"/>
    <n v="279.10000000000002"/>
  </r>
  <r>
    <s v="Rebeka Stimmer"/>
    <x v="12"/>
    <x v="5"/>
    <x v="8"/>
    <x v="0"/>
    <s v="10.09.23"/>
    <n v="88.3"/>
    <n v="94.8"/>
    <n v="93.2"/>
    <m/>
    <m/>
    <m/>
    <n v="276.3"/>
    <n v="276.3"/>
  </r>
  <r>
    <s v="Kaspar Viiron"/>
    <x v="12"/>
    <x v="0"/>
    <x v="8"/>
    <x v="0"/>
    <s v="10.09.23"/>
    <n v="96.4"/>
    <n v="97.7"/>
    <n v="99.3"/>
    <m/>
    <m/>
    <m/>
    <n v="293.40000000000003"/>
    <n v="293.40000000000003"/>
  </r>
  <r>
    <s v="Markko Kirsti"/>
    <x v="13"/>
    <x v="1"/>
    <x v="8"/>
    <x v="0"/>
    <s v="10.09.23"/>
    <n v="98.6"/>
    <n v="99.2"/>
    <n v="99.4"/>
    <m/>
    <m/>
    <m/>
    <n v="297.20000000000005"/>
    <n v="297.20000000000005"/>
  </r>
  <r>
    <s v="Reimo Jürjo"/>
    <x v="13"/>
    <x v="2"/>
    <x v="8"/>
    <x v="0"/>
    <s v="10.09.23"/>
    <n v="94.1"/>
    <n v="94.2"/>
    <n v="87.5"/>
    <m/>
    <m/>
    <m/>
    <n v="275.8"/>
    <n v="275.8"/>
  </r>
  <r>
    <s v="Anete Mozgovoi"/>
    <x v="13"/>
    <x v="3"/>
    <x v="8"/>
    <x v="0"/>
    <s v="10.09.23"/>
    <n v="70.099999999999994"/>
    <n v="40.6"/>
    <n v="42.3"/>
    <m/>
    <m/>
    <m/>
    <n v="153"/>
    <n v="153"/>
  </r>
  <r>
    <s v="Aksel Alas"/>
    <x v="13"/>
    <x v="4"/>
    <x v="8"/>
    <x v="0"/>
    <s v="10.09.23"/>
    <n v="100.5"/>
    <n v="93.9"/>
    <n v="97.3"/>
    <m/>
    <m/>
    <m/>
    <n v="291.7"/>
    <n v="291.7"/>
  </r>
  <r>
    <s v="Kaisa-Liisa Lepa"/>
    <x v="13"/>
    <x v="5"/>
    <x v="8"/>
    <x v="0"/>
    <s v="10.09.23"/>
    <n v="90.9"/>
    <n v="91"/>
    <n v="95.1"/>
    <m/>
    <m/>
    <m/>
    <n v="277"/>
    <n v="277"/>
  </r>
  <r>
    <s v="Markko Aarne"/>
    <x v="13"/>
    <x v="0"/>
    <x v="8"/>
    <x v="0"/>
    <s v="10.09.23"/>
    <n v="100.1"/>
    <n v="102.3"/>
    <n v="99.6"/>
    <m/>
    <m/>
    <m/>
    <n v="302"/>
    <n v="302"/>
  </r>
  <r>
    <s v="Rudolf Leetsaar"/>
    <x v="14"/>
    <x v="4"/>
    <x v="8"/>
    <x v="0"/>
    <s v="10.09.23"/>
    <n v="86.9"/>
    <n v="98.5"/>
    <n v="93.5"/>
    <m/>
    <m/>
    <m/>
    <n v="278.89999999999998"/>
    <n v="278.89999999999998"/>
  </r>
  <r>
    <s v="Chrissy Padar"/>
    <x v="14"/>
    <x v="5"/>
    <x v="8"/>
    <x v="0"/>
    <s v="10.09.23"/>
    <n v="99.5"/>
    <n v="97.7"/>
    <n v="102.2"/>
    <m/>
    <m/>
    <m/>
    <n v="299.39999999999998"/>
    <n v="299.39999999999998"/>
  </r>
  <r>
    <s v="Vahur Asi"/>
    <x v="14"/>
    <x v="2"/>
    <x v="8"/>
    <x v="0"/>
    <s v="10.09.23"/>
    <n v="75.8"/>
    <n v="83.7"/>
    <n v="74.099999999999994"/>
    <m/>
    <m/>
    <m/>
    <n v="233.6"/>
    <n v="233.6"/>
  </r>
  <r>
    <s v="Kristofer-Jaago Kivari"/>
    <x v="14"/>
    <x v="0"/>
    <x v="8"/>
    <x v="0"/>
    <s v="10.09.23"/>
    <n v="99.9"/>
    <n v="102.6"/>
    <n v="100.9"/>
    <m/>
    <m/>
    <m/>
    <n v="303.39999999999998"/>
    <n v="303.39999999999998"/>
  </r>
  <r>
    <s v="Kirsika Kelder"/>
    <x v="14"/>
    <x v="5"/>
    <x v="8"/>
    <x v="1"/>
    <s v="10.09.23"/>
    <n v="91"/>
    <n v="98.9"/>
    <n v="89.2"/>
    <m/>
    <m/>
    <m/>
    <n v="279.10000000000002"/>
    <m/>
  </r>
  <r>
    <s v="Kahru Männik"/>
    <x v="14"/>
    <x v="0"/>
    <x v="8"/>
    <x v="1"/>
    <s v="10.09.23"/>
    <n v="100.1"/>
    <n v="99.9"/>
    <n v="104.2"/>
    <m/>
    <m/>
    <m/>
    <n v="304.2"/>
    <m/>
  </r>
  <r>
    <s v="Marianne Tavits"/>
    <x v="14"/>
    <x v="1"/>
    <x v="8"/>
    <x v="0"/>
    <s v="10.09.23"/>
    <n v="102.5"/>
    <n v="98.9"/>
    <n v="103.3"/>
    <m/>
    <m/>
    <m/>
    <n v="304.7"/>
    <n v="304.7"/>
  </r>
  <r>
    <s v="Kristina Mölder"/>
    <x v="14"/>
    <x v="3"/>
    <x v="8"/>
    <x v="0"/>
    <s v="10.09.23"/>
    <n v="97.2"/>
    <n v="103.2"/>
    <n v="100.9"/>
    <m/>
    <m/>
    <m/>
    <n v="301.3"/>
    <n v="301.3"/>
  </r>
  <r>
    <s v="Meribel Männik"/>
    <x v="8"/>
    <x v="3"/>
    <x v="8"/>
    <x v="0"/>
    <s v="10.09.23"/>
    <n v="98.4"/>
    <n v="96"/>
    <n v="102.6"/>
    <m/>
    <m/>
    <m/>
    <n v="297"/>
    <n v="297"/>
  </r>
  <r>
    <s v="Kaarin Veelaid"/>
    <x v="8"/>
    <x v="5"/>
    <x v="8"/>
    <x v="0"/>
    <s v="10.09.23"/>
    <n v="80.2"/>
    <n v="81.099999999999994"/>
    <n v="73.8"/>
    <m/>
    <m/>
    <m/>
    <n v="235.10000000000002"/>
    <n v="235.10000000000002"/>
  </r>
  <r>
    <s v="Meelis Kask"/>
    <x v="8"/>
    <x v="0"/>
    <x v="8"/>
    <x v="0"/>
    <s v="10.09.23"/>
    <n v="91.2"/>
    <n v="97.7"/>
    <n v="101.4"/>
    <m/>
    <m/>
    <m/>
    <n v="290.3"/>
    <n v="290.3"/>
  </r>
  <r>
    <s v="Aili Vakker"/>
    <x v="8"/>
    <x v="1"/>
    <x v="8"/>
    <x v="0"/>
    <s v="10.09.23"/>
    <n v="79.8"/>
    <n v="76.099999999999994"/>
    <n v="77.099999999999994"/>
    <m/>
    <m/>
    <m/>
    <n v="232.99999999999997"/>
    <n v="232.99999999999997"/>
  </r>
  <r>
    <s v="Pilleriin Vaarik"/>
    <x v="8"/>
    <x v="3"/>
    <x v="8"/>
    <x v="1"/>
    <s v="10.09.23"/>
    <n v="99.7"/>
    <n v="99.1"/>
    <n v="100.9"/>
    <m/>
    <m/>
    <m/>
    <n v="299.70000000000005"/>
    <m/>
  </r>
  <r>
    <s v="Rasmus Vaikmets"/>
    <x v="15"/>
    <x v="4"/>
    <x v="8"/>
    <x v="0"/>
    <s v="10.09.23"/>
    <n v="93.1"/>
    <n v="84.6"/>
    <n v="79.7"/>
    <m/>
    <m/>
    <m/>
    <n v="257.39999999999998"/>
    <n v="257.39999999999998"/>
  </r>
  <r>
    <s v="Loore Tagen"/>
    <x v="15"/>
    <x v="5"/>
    <x v="8"/>
    <x v="0"/>
    <s v="10.09.23"/>
    <n v="97.6"/>
    <n v="90.1"/>
    <n v="94.1"/>
    <m/>
    <m/>
    <m/>
    <n v="281.79999999999995"/>
    <n v="281.79999999999995"/>
  </r>
  <r>
    <s v="Kaisa Sikk"/>
    <x v="15"/>
    <x v="1"/>
    <x v="8"/>
    <x v="0"/>
    <s v="10.09.23"/>
    <n v="101.8"/>
    <n v="95.1"/>
    <n v="102.3"/>
    <m/>
    <m/>
    <m/>
    <n v="299.2"/>
    <n v="299.2"/>
  </r>
  <r>
    <s v="Mattias-Oliver Oja"/>
    <x v="15"/>
    <x v="2"/>
    <x v="8"/>
    <x v="0"/>
    <s v="10.09.23"/>
    <n v="85.8"/>
    <n v="79.8"/>
    <n v="84.4"/>
    <m/>
    <m/>
    <m/>
    <n v="250"/>
    <n v="250"/>
  </r>
  <r>
    <s v="Katrin Kaarna"/>
    <x v="15"/>
    <x v="3"/>
    <x v="8"/>
    <x v="0"/>
    <s v="10.09.23"/>
    <n v="93.6"/>
    <n v="88.4"/>
    <n v="91.4"/>
    <m/>
    <m/>
    <m/>
    <n v="273.39999999999998"/>
    <n v="273.39999999999998"/>
  </r>
  <r>
    <s v="Rivo Poltimäe"/>
    <x v="15"/>
    <x v="0"/>
    <x v="8"/>
    <x v="0"/>
    <s v="10.09.23"/>
    <n v="90"/>
    <n v="94.2"/>
    <n v="85.6"/>
    <m/>
    <m/>
    <m/>
    <n v="269.79999999999995"/>
    <n v="269.79999999999995"/>
  </r>
  <r>
    <s v="Tarmo Kuusepalu"/>
    <x v="6"/>
    <x v="0"/>
    <x v="8"/>
    <x v="1"/>
    <s v="09.09.23"/>
    <n v="92.5"/>
    <n v="92.4"/>
    <n v="90.7"/>
    <m/>
    <m/>
    <m/>
    <n v="275.60000000000002"/>
    <m/>
  </r>
  <r>
    <s v="Nikita Abazin"/>
    <x v="8"/>
    <x v="0"/>
    <x v="8"/>
    <x v="0"/>
    <s v="10.09.23"/>
    <n v="91.5"/>
    <n v="92.5"/>
    <n v="82.4"/>
    <m/>
    <m/>
    <m/>
    <n v="266.39999999999998"/>
    <n v="266.39999999999998"/>
  </r>
  <r>
    <s v="Kaspar Tühis"/>
    <x v="11"/>
    <x v="4"/>
    <x v="8"/>
    <x v="0"/>
    <s v="10.09.23"/>
    <n v="96.6"/>
    <n v="95.9"/>
    <n v="97.5"/>
    <m/>
    <m/>
    <m/>
    <n v="290"/>
    <n v="290"/>
  </r>
  <r>
    <s v="Henry Tammann"/>
    <x v="0"/>
    <x v="0"/>
    <x v="9"/>
    <x v="0"/>
    <s v="09.09.23"/>
    <n v="96"/>
    <n v="95"/>
    <m/>
    <m/>
    <m/>
    <m/>
    <n v="191"/>
    <n v="286.5"/>
  </r>
  <r>
    <s v="Tanel Oja"/>
    <x v="0"/>
    <x v="0"/>
    <x v="9"/>
    <x v="1"/>
    <s v="09.09.23"/>
    <n v="94"/>
    <n v="95"/>
    <m/>
    <m/>
    <m/>
    <m/>
    <n v="189"/>
    <m/>
  </r>
  <r>
    <s v="Indrek Tombak"/>
    <x v="1"/>
    <x v="0"/>
    <x v="9"/>
    <x v="0"/>
    <s v="09.09.23"/>
    <n v="88"/>
    <n v="84"/>
    <m/>
    <m/>
    <m/>
    <m/>
    <n v="172"/>
    <n v="258"/>
  </r>
  <r>
    <s v="Allan Anniste"/>
    <x v="1"/>
    <x v="0"/>
    <x v="9"/>
    <x v="1"/>
    <s v="09.09.23"/>
    <n v="83"/>
    <n v="74"/>
    <m/>
    <m/>
    <m/>
    <m/>
    <n v="157"/>
    <m/>
  </r>
  <r>
    <s v="Urmas Lichtfeldt"/>
    <x v="2"/>
    <x v="0"/>
    <x v="9"/>
    <x v="0"/>
    <s v="09.09.23"/>
    <n v="87"/>
    <n v="89"/>
    <m/>
    <m/>
    <m/>
    <m/>
    <n v="176"/>
    <n v="264"/>
  </r>
  <r>
    <s v="Rasmus Ruusmäe"/>
    <x v="3"/>
    <x v="0"/>
    <x v="9"/>
    <x v="0"/>
    <s v="09.09.23"/>
    <n v="84"/>
    <n v="86"/>
    <m/>
    <m/>
    <m/>
    <m/>
    <n v="170"/>
    <n v="255"/>
  </r>
  <r>
    <s v="Rando Köster"/>
    <x v="4"/>
    <x v="0"/>
    <x v="9"/>
    <x v="0"/>
    <s v="09.09.23"/>
    <n v="85"/>
    <n v="85"/>
    <m/>
    <m/>
    <m/>
    <m/>
    <n v="170"/>
    <n v="255"/>
  </r>
  <r>
    <s v="Kert Humal"/>
    <x v="5"/>
    <x v="0"/>
    <x v="9"/>
    <x v="0"/>
    <s v="09.09.23"/>
    <n v="81"/>
    <n v="80"/>
    <m/>
    <m/>
    <m/>
    <m/>
    <n v="161"/>
    <n v="241.5"/>
  </r>
  <r>
    <s v="Heili Lepp"/>
    <x v="6"/>
    <x v="1"/>
    <x v="9"/>
    <x v="0"/>
    <s v="09.09.23"/>
    <n v="92"/>
    <n v="86"/>
    <m/>
    <m/>
    <m/>
    <m/>
    <n v="178"/>
    <n v="267"/>
  </r>
  <r>
    <s v="Ain Nurmla"/>
    <x v="7"/>
    <x v="0"/>
    <x v="9"/>
    <x v="0"/>
    <s v="09.09.23"/>
    <n v="68"/>
    <n v="65"/>
    <m/>
    <m/>
    <m/>
    <m/>
    <n v="133"/>
    <n v="199.5"/>
  </r>
  <r>
    <s v="Juss Leinbock"/>
    <x v="0"/>
    <x v="0"/>
    <x v="9"/>
    <x v="1"/>
    <s v="09.09.23"/>
    <n v="90"/>
    <n v="92"/>
    <m/>
    <m/>
    <m/>
    <m/>
    <n v="182"/>
    <m/>
  </r>
  <r>
    <s v="Tambet Leinbock"/>
    <x v="0"/>
    <x v="0"/>
    <x v="9"/>
    <x v="1"/>
    <s v="09.09.23"/>
    <n v="87"/>
    <n v="91"/>
    <m/>
    <m/>
    <m/>
    <m/>
    <n v="178"/>
    <m/>
  </r>
  <r>
    <s v="Fred Raukas"/>
    <x v="6"/>
    <x v="0"/>
    <x v="9"/>
    <x v="1"/>
    <s v="09.09.23"/>
    <n v="94"/>
    <n v="94"/>
    <m/>
    <m/>
    <m/>
    <m/>
    <n v="188"/>
    <m/>
  </r>
  <r>
    <s v="Tarmo Juurak"/>
    <x v="9"/>
    <x v="0"/>
    <x v="9"/>
    <x v="0"/>
    <s v="10.09.23"/>
    <n v="87"/>
    <n v="75"/>
    <m/>
    <m/>
    <m/>
    <m/>
    <n v="162"/>
    <n v="243"/>
  </r>
  <r>
    <s v="Marko Ender"/>
    <x v="10"/>
    <x v="0"/>
    <x v="9"/>
    <x v="1"/>
    <s v="10.09.23"/>
    <n v="87"/>
    <n v="77"/>
    <m/>
    <m/>
    <m/>
    <m/>
    <n v="164"/>
    <m/>
  </r>
  <r>
    <s v="Siim Jeeberg"/>
    <x v="10"/>
    <x v="0"/>
    <x v="9"/>
    <x v="0"/>
    <s v="10.09.23"/>
    <n v="94"/>
    <n v="87"/>
    <m/>
    <m/>
    <m/>
    <m/>
    <n v="181"/>
    <n v="271.5"/>
  </r>
  <r>
    <s v="Kristjan Raudnagel"/>
    <x v="11"/>
    <x v="0"/>
    <x v="9"/>
    <x v="0"/>
    <s v="10.09.23"/>
    <n v="67"/>
    <n v="62"/>
    <m/>
    <m/>
    <m/>
    <m/>
    <n v="129"/>
    <n v="193.5"/>
  </r>
  <r>
    <s v="Rauno Piirimets"/>
    <x v="12"/>
    <x v="0"/>
    <x v="9"/>
    <x v="0"/>
    <s v="10.09.23"/>
    <n v="85"/>
    <n v="83"/>
    <m/>
    <m/>
    <m/>
    <m/>
    <n v="168"/>
    <n v="252"/>
  </r>
  <r>
    <s v="Sören Silm"/>
    <x v="13"/>
    <x v="0"/>
    <x v="9"/>
    <x v="1"/>
    <s v="10.09.23"/>
    <n v="47"/>
    <n v="56"/>
    <m/>
    <m/>
    <m/>
    <m/>
    <n v="103"/>
    <m/>
  </r>
  <r>
    <s v="Andrus Keerd"/>
    <x v="13"/>
    <x v="0"/>
    <x v="9"/>
    <x v="0"/>
    <s v="10.09.23"/>
    <n v="37"/>
    <n v="62"/>
    <m/>
    <m/>
    <m/>
    <m/>
    <n v="99"/>
    <n v="148.5"/>
  </r>
  <r>
    <s v="Ülar Laaneoja"/>
    <x v="14"/>
    <x v="0"/>
    <x v="9"/>
    <x v="0"/>
    <s v="10.09.23"/>
    <n v="91"/>
    <n v="87"/>
    <m/>
    <m/>
    <m/>
    <m/>
    <n v="178"/>
    <n v="267"/>
  </r>
  <r>
    <s v="Daimar Elp"/>
    <x v="14"/>
    <x v="0"/>
    <x v="9"/>
    <x v="1"/>
    <s v="10.09.23"/>
    <n v="87"/>
    <n v="81"/>
    <m/>
    <m/>
    <m/>
    <m/>
    <n v="168"/>
    <m/>
  </r>
  <r>
    <s v="Hellar Sile"/>
    <x v="8"/>
    <x v="0"/>
    <x v="9"/>
    <x v="0"/>
    <s v="10.09.23"/>
    <n v="85"/>
    <n v="92"/>
    <m/>
    <m/>
    <m/>
    <m/>
    <n v="177"/>
    <n v="265.5"/>
  </r>
  <r>
    <s v="Jaanus Kala"/>
    <x v="15"/>
    <x v="0"/>
    <x v="9"/>
    <x v="0"/>
    <s v="10.09.23"/>
    <n v="90"/>
    <n v="89"/>
    <m/>
    <m/>
    <m/>
    <m/>
    <n v="179"/>
    <n v="268.5"/>
  </r>
  <r>
    <s v="Veiko Park"/>
    <x v="15"/>
    <x v="0"/>
    <x v="9"/>
    <x v="1"/>
    <s v="10.09.23"/>
    <n v="89"/>
    <n v="88"/>
    <m/>
    <m/>
    <m/>
    <m/>
    <n v="177"/>
    <m/>
  </r>
  <r>
    <s v="Elmet Orasson"/>
    <x v="6"/>
    <x v="0"/>
    <x v="9"/>
    <x v="1"/>
    <s v="09.09.23"/>
    <n v="83"/>
    <n v="89"/>
    <m/>
    <m/>
    <m/>
    <m/>
    <n v="172"/>
    <m/>
  </r>
  <r>
    <s v="Meelis Sinijärv"/>
    <x v="4"/>
    <x v="0"/>
    <x v="5"/>
    <x v="1"/>
    <s v="09.09.23"/>
    <n v="62"/>
    <n v="71"/>
    <n v="78"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  <r>
    <m/>
    <x v="16"/>
    <x v="6"/>
    <x v="10"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Võistkond" cacheId="12" applyNumberFormats="0" applyBorderFormats="0" applyFontFormats="0" applyPatternFormats="0" applyAlignmentFormats="0" applyWidthHeightFormats="0" dataCaption="" updatedVersion="8" compact="0" compactData="0">
  <location ref="A3:L21" firstHeaderRow="1" firstDataRow="2" firstDataCol="1" rowPageCount="1" colPageCount="1"/>
  <pivotFields count="14">
    <pivotField name="Nimi" compact="0" outline="0" multipleItemSelectionAllowed="1" showAll="0"/>
    <pivotField name="Malev" axis="axisRow" compact="0" outline="0" multipleItemSelectionAllowed="1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6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Võistlusklass" compact="0" outline="0" multipleItemSelectionAllowed="1" showAll="0"/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axis="axisPage" compact="0" outline="0" multipleItemSelectionAllowed="1" showAll="0">
      <items count="4">
        <item x="0"/>
        <item h="1" x="1"/>
        <item h="1" x="2"/>
        <item t="default"/>
      </items>
    </pivotField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compact="0" outline="0" multipleItemSelectionAllowed="1" showAll="0"/>
    <pivotField name="VÕISTK KOKKU" dataField="1" compact="0" outline="0" multipleItemSelectionAllowed="1" showAll="0"/>
  </pivotFields>
  <rowFields count="1">
    <field x="1"/>
  </rowFields>
  <rowItems count="17">
    <i>
      <x/>
    </i>
    <i>
      <x v="14"/>
    </i>
    <i>
      <x v="6"/>
    </i>
    <i>
      <x v="1"/>
    </i>
    <i>
      <x v="4"/>
    </i>
    <i>
      <x v="10"/>
    </i>
    <i>
      <x v="13"/>
    </i>
    <i>
      <x v="12"/>
    </i>
    <i>
      <x v="8"/>
    </i>
    <i>
      <x v="15"/>
    </i>
    <i>
      <x v="11"/>
    </i>
    <i>
      <x v="9"/>
    </i>
    <i>
      <x v="2"/>
    </i>
    <i>
      <x v="5"/>
    </i>
    <i>
      <x v="3"/>
    </i>
    <i>
      <x v="7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4" hier="0"/>
  </pageFields>
  <dataFields count="1">
    <dataField name="VÕISTKONDLIK KOKKU" fld="1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Noored" cacheId="12" applyNumberFormats="0" applyBorderFormats="0" applyFontFormats="0" applyPatternFormats="0" applyAlignmentFormats="0" applyWidthHeightFormats="0" dataCaption="" updatedVersion="8" compact="0" compactData="0">
  <location ref="A3:F17" firstHeaderRow="1" firstDataRow="2" firstDataCol="1" rowPageCount="1" colPageCount="1"/>
  <pivotFields count="14">
    <pivotField name="Nimi" compact="0" outline="0" multipleItemSelectionAllowed="1" showAll="0"/>
    <pivotField name="Malev" axis="axisRow" compact="0" outline="0" multipleItemSelectionAllowed="1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Võistlusklass" axis="axisPage" compact="0" outline="0" multipleItemSelectionAllowed="1" showAll="0">
      <items count="8">
        <item h="1" x="0"/>
        <item h="1" x="1"/>
        <item x="2"/>
        <item x="3"/>
        <item x="4"/>
        <item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compact="0" outline="0" multipleItemSelectionAllowed="1" showAll="0"/>
    <pivotField name="VÕISTK KOKKU" dataField="1" compact="0" outline="0" multipleItemSelectionAllowed="1" showAll="0"/>
  </pivotFields>
  <rowFields count="1">
    <field x="1"/>
  </rowFields>
  <rowItems count="13">
    <i>
      <x/>
    </i>
    <i>
      <x v="14"/>
    </i>
    <i>
      <x v="1"/>
    </i>
    <i>
      <x v="13"/>
    </i>
    <i>
      <x v="4"/>
    </i>
    <i>
      <x v="6"/>
    </i>
    <i>
      <x v="12"/>
    </i>
    <i>
      <x v="10"/>
    </i>
    <i>
      <x v="15"/>
    </i>
    <i>
      <x v="8"/>
    </i>
    <i>
      <x v="11"/>
    </i>
    <i>
      <x v="9"/>
    </i>
    <i t="grand">
      <x/>
    </i>
  </rowItems>
  <colFields count="1">
    <field x="3"/>
  </colFields>
  <colItems count="5">
    <i>
      <x v="2"/>
    </i>
    <i>
      <x v="3"/>
    </i>
    <i>
      <x v="7"/>
    </i>
    <i>
      <x v="8"/>
    </i>
    <i t="grand">
      <x/>
    </i>
  </colItems>
  <pageFields count="1">
    <pageField fld="2" hier="0"/>
  </pageFields>
  <dataFields count="1">
    <dataField name="NOORED VÕISTKONDLIK" fld="13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Mehed" cacheId="6" applyNumberFormats="0" applyBorderFormats="0" applyFontFormats="0" applyPatternFormats="0" applyAlignmentFormats="0" applyWidthHeightFormats="0" dataCaption="" updatedVersion="8" compact="0" compactData="0">
  <location ref="A3:L154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x="0"/>
        <item h="1" x="1"/>
        <item h="1" x="2"/>
        <item h="1" x="3"/>
        <item h="1" x="4"/>
        <item h="1"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150">
    <i>
      <x v="55"/>
    </i>
    <i>
      <x v="2"/>
    </i>
    <i>
      <x v="64"/>
    </i>
    <i>
      <x/>
    </i>
    <i>
      <x v="90"/>
    </i>
    <i>
      <x v="4"/>
    </i>
    <i>
      <x v="45"/>
    </i>
    <i>
      <x v="214"/>
    </i>
    <i>
      <x v="1"/>
    </i>
    <i>
      <x v="236"/>
    </i>
    <i>
      <x v="235"/>
    </i>
    <i>
      <x v="11"/>
    </i>
    <i>
      <x v="119"/>
    </i>
    <i>
      <x v="77"/>
    </i>
    <i>
      <x v="120"/>
    </i>
    <i>
      <x v="239"/>
    </i>
    <i>
      <x v="29"/>
    </i>
    <i>
      <x v="20"/>
    </i>
    <i>
      <x v="230"/>
    </i>
    <i>
      <x v="116"/>
    </i>
    <i>
      <x v="72"/>
    </i>
    <i>
      <x v="118"/>
    </i>
    <i>
      <x v="148"/>
    </i>
    <i>
      <x v="31"/>
    </i>
    <i>
      <x v="188"/>
    </i>
    <i>
      <x v="79"/>
    </i>
    <i>
      <x v="83"/>
    </i>
    <i>
      <x v="81"/>
    </i>
    <i>
      <x v="87"/>
    </i>
    <i>
      <x v="62"/>
    </i>
    <i>
      <x v="61"/>
    </i>
    <i>
      <x v="86"/>
    </i>
    <i>
      <x v="94"/>
    </i>
    <i>
      <x v="25"/>
    </i>
    <i>
      <x v="106"/>
    </i>
    <i>
      <x v="104"/>
    </i>
    <i>
      <x v="210"/>
    </i>
    <i>
      <x v="63"/>
    </i>
    <i>
      <x v="220"/>
    </i>
    <i>
      <x v="187"/>
    </i>
    <i>
      <x v="136"/>
    </i>
    <i>
      <x v="226"/>
    </i>
    <i>
      <x v="82"/>
    </i>
    <i>
      <x v="66"/>
    </i>
    <i>
      <x v="93"/>
    </i>
    <i>
      <x v="54"/>
    </i>
    <i>
      <x v="172"/>
    </i>
    <i>
      <x v="105"/>
    </i>
    <i>
      <x v="174"/>
    </i>
    <i>
      <x v="8"/>
    </i>
    <i>
      <x v="6"/>
    </i>
    <i>
      <x v="65"/>
    </i>
    <i>
      <x v="28"/>
    </i>
    <i>
      <x v="24"/>
    </i>
    <i>
      <x v="194"/>
    </i>
    <i>
      <x v="134"/>
    </i>
    <i>
      <x v="180"/>
    </i>
    <i>
      <x v="38"/>
    </i>
    <i>
      <x v="10"/>
    </i>
    <i>
      <x v="113"/>
    </i>
    <i>
      <x v="167"/>
    </i>
    <i>
      <x v="13"/>
    </i>
    <i>
      <x v="58"/>
    </i>
    <i>
      <x v="109"/>
    </i>
    <i>
      <x v="56"/>
    </i>
    <i>
      <x v="191"/>
    </i>
    <i>
      <x v="68"/>
    </i>
    <i>
      <x v="49"/>
    </i>
    <i>
      <x v="12"/>
    </i>
    <i>
      <x v="19"/>
    </i>
    <i>
      <x v="46"/>
    </i>
    <i>
      <x v="166"/>
    </i>
    <i>
      <x v="92"/>
    </i>
    <i>
      <x v="17"/>
    </i>
    <i>
      <x v="75"/>
    </i>
    <i>
      <x v="44"/>
    </i>
    <i>
      <x v="53"/>
    </i>
    <i>
      <x v="91"/>
    </i>
    <i>
      <x v="111"/>
    </i>
    <i>
      <x v="50"/>
    </i>
    <i>
      <x v="70"/>
    </i>
    <i>
      <x v="189"/>
    </i>
    <i>
      <x v="80"/>
    </i>
    <i>
      <x v="192"/>
    </i>
    <i>
      <x v="15"/>
    </i>
    <i>
      <x v="26"/>
    </i>
    <i>
      <x v="69"/>
    </i>
    <i>
      <x v="78"/>
    </i>
    <i>
      <x v="267"/>
    </i>
    <i>
      <x v="252"/>
    </i>
    <i>
      <x v="85"/>
    </i>
    <i>
      <x v="282"/>
    </i>
    <i>
      <x v="205"/>
    </i>
    <i>
      <x v="259"/>
    </i>
    <i>
      <x v="206"/>
    </i>
    <i>
      <x v="207"/>
    </i>
    <i>
      <x v="125"/>
    </i>
    <i>
      <x v="262"/>
    </i>
    <i>
      <x v="67"/>
    </i>
    <i>
      <x v="300"/>
    </i>
    <i>
      <x v="142"/>
    </i>
    <i>
      <x v="9"/>
    </i>
    <i>
      <x v="23"/>
    </i>
    <i>
      <x v="37"/>
    </i>
    <i>
      <x v="21"/>
    </i>
    <i>
      <x v="203"/>
    </i>
    <i>
      <x v="301"/>
    </i>
    <i>
      <x v="169"/>
    </i>
    <i>
      <x v="131"/>
    </i>
    <i>
      <x v="275"/>
    </i>
    <i>
      <x v="170"/>
    </i>
    <i>
      <x v="18"/>
    </i>
    <i>
      <x v="74"/>
    </i>
    <i>
      <x v="161"/>
    </i>
    <i>
      <x v="40"/>
    </i>
    <i>
      <x v="182"/>
    </i>
    <i>
      <x v="165"/>
    </i>
    <i>
      <x v="204"/>
    </i>
    <i>
      <x v="154"/>
    </i>
    <i>
      <x v="41"/>
    </i>
    <i>
      <x v="52"/>
    </i>
    <i>
      <x v="176"/>
    </i>
    <i>
      <x v="195"/>
    </i>
    <i>
      <x v="200"/>
    </i>
    <i>
      <x v="164"/>
    </i>
    <i>
      <x v="209"/>
    </i>
    <i>
      <x v="175"/>
    </i>
    <i>
      <x v="47"/>
    </i>
    <i>
      <x v="59"/>
    </i>
    <i>
      <x v="190"/>
    </i>
    <i>
      <x v="173"/>
    </i>
    <i>
      <x v="197"/>
    </i>
    <i>
      <x v="198"/>
    </i>
    <i>
      <x v="129"/>
    </i>
    <i>
      <x v="42"/>
    </i>
    <i>
      <x v="208"/>
    </i>
    <i>
      <x v="202"/>
    </i>
    <i>
      <x v="186"/>
    </i>
    <i>
      <x v="199"/>
    </i>
    <i>
      <x v="307"/>
    </i>
    <i>
      <x v="304"/>
    </i>
    <i>
      <x v="303"/>
    </i>
    <i>
      <x v="308"/>
    </i>
    <i>
      <x v="95"/>
    </i>
    <i>
      <x v="306"/>
    </i>
    <i>
      <x v="177"/>
    </i>
    <i>
      <x v="193"/>
    </i>
    <i>
      <x v="185"/>
    </i>
    <i>
      <x v="96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hier="0"/>
  </pageFields>
  <dataFields count="1">
    <dataField name="MEHED TULEM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Naised" cacheId="6" applyNumberFormats="0" applyBorderFormats="0" applyFontFormats="0" applyPatternFormats="0" applyAlignmentFormats="0" applyWidthHeightFormats="0" dataCaption="" updatedVersion="8" compact="0" compactData="0">
  <location ref="A3:K81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h="1" x="0"/>
        <item x="1"/>
        <item h="1" x="2"/>
        <item h="1" x="3"/>
        <item h="1" x="4"/>
        <item h="1"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77">
    <i>
      <x v="108"/>
    </i>
    <i>
      <x v="222"/>
    </i>
    <i>
      <x v="237"/>
    </i>
    <i>
      <x v="218"/>
    </i>
    <i>
      <x v="100"/>
    </i>
    <i>
      <x v="30"/>
    </i>
    <i>
      <x v="51"/>
    </i>
    <i>
      <x v="232"/>
    </i>
    <i>
      <x v="244"/>
    </i>
    <i>
      <x v="76"/>
    </i>
    <i>
      <x v="60"/>
    </i>
    <i>
      <x v="101"/>
    </i>
    <i>
      <x v="211"/>
    </i>
    <i>
      <x v="240"/>
    </i>
    <i>
      <x v="110"/>
    </i>
    <i>
      <x v="114"/>
    </i>
    <i>
      <x v="124"/>
    </i>
    <i>
      <x v="98"/>
    </i>
    <i>
      <x v="103"/>
    </i>
    <i>
      <x v="16"/>
    </i>
    <i>
      <x v="5"/>
    </i>
    <i>
      <x v="117"/>
    </i>
    <i>
      <x v="33"/>
    </i>
    <i>
      <x v="141"/>
    </i>
    <i>
      <x v="145"/>
    </i>
    <i>
      <x v="137"/>
    </i>
    <i>
      <x v="171"/>
    </i>
    <i>
      <x v="215"/>
    </i>
    <i>
      <x v="47"/>
    </i>
    <i>
      <x v="133"/>
    </i>
    <i>
      <x v="227"/>
    </i>
    <i>
      <x v="36"/>
    </i>
    <i>
      <x v="48"/>
    </i>
    <i>
      <x v="34"/>
    </i>
    <i>
      <x v="84"/>
    </i>
    <i>
      <x v="196"/>
    </i>
    <i>
      <x v="112"/>
    </i>
    <i>
      <x v="35"/>
    </i>
    <i>
      <x v="14"/>
    </i>
    <i>
      <x v="178"/>
    </i>
    <i>
      <x v="39"/>
    </i>
    <i>
      <x v="22"/>
    </i>
    <i>
      <x v="7"/>
    </i>
    <i>
      <x v="88"/>
    </i>
    <i>
      <x v="266"/>
    </i>
    <i>
      <x v="253"/>
    </i>
    <i>
      <x v="286"/>
    </i>
    <i>
      <x v="274"/>
    </i>
    <i>
      <x v="265"/>
    </i>
    <i>
      <x v="264"/>
    </i>
    <i>
      <x v="121"/>
    </i>
    <i>
      <x v="273"/>
    </i>
    <i>
      <x v="276"/>
    </i>
    <i>
      <x v="73"/>
    </i>
    <i>
      <x v="255"/>
    </i>
    <i>
      <x v="32"/>
    </i>
    <i>
      <x v="71"/>
    </i>
    <i>
      <x v="149"/>
    </i>
    <i>
      <x v="126"/>
    </i>
    <i>
      <x v="43"/>
    </i>
    <i>
      <x v="168"/>
    </i>
    <i>
      <x v="140"/>
    </i>
    <i>
      <x v="179"/>
    </i>
    <i>
      <x v="3"/>
    </i>
    <i>
      <x v="184"/>
    </i>
    <i>
      <x v="181"/>
    </i>
    <i>
      <x v="157"/>
    </i>
    <i>
      <x v="147"/>
    </i>
    <i>
      <x v="57"/>
    </i>
    <i>
      <x v="201"/>
    </i>
    <i>
      <x v="183"/>
    </i>
    <i>
      <x v="143"/>
    </i>
    <i>
      <x v="107"/>
    </i>
    <i>
      <x v="305"/>
    </i>
    <i>
      <x v="27"/>
    </i>
    <i>
      <x v="89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colItems>
  <pageFields count="1">
    <pageField fld="2" hier="0"/>
  </pageFields>
  <dataFields count="1">
    <dataField name="NAISED TULEM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Juunior M" cacheId="6" applyNumberFormats="0" applyBorderFormats="0" applyFontFormats="0" applyPatternFormats="0" applyAlignmentFormats="0" applyWidthHeightFormats="0" dataCaption="" updatedVersion="8" compact="0" compactData="0">
  <location ref="A3:F34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h="1" x="0"/>
        <item h="1" x="1"/>
        <item x="2"/>
        <item h="1" x="3"/>
        <item h="1" x="4"/>
        <item h="1"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30">
    <i>
      <x v="102"/>
    </i>
    <i>
      <x v="216"/>
    </i>
    <i>
      <x v="159"/>
    </i>
    <i>
      <x v="158"/>
    </i>
    <i>
      <x v="233"/>
    </i>
    <i>
      <x v="135"/>
    </i>
    <i>
      <x v="242"/>
    </i>
    <i>
      <x v="99"/>
    </i>
    <i>
      <x v="212"/>
    </i>
    <i>
      <x v="97"/>
    </i>
    <i>
      <x v="225"/>
    </i>
    <i>
      <x v="228"/>
    </i>
    <i>
      <x v="254"/>
    </i>
    <i>
      <x v="247"/>
    </i>
    <i>
      <x v="272"/>
    </i>
    <i>
      <x v="261"/>
    </i>
    <i>
      <x v="150"/>
    </i>
    <i>
      <x v="287"/>
    </i>
    <i>
      <x v="279"/>
    </i>
    <i>
      <x v="152"/>
    </i>
    <i>
      <x v="268"/>
    </i>
    <i>
      <x v="139"/>
    </i>
    <i>
      <x v="127"/>
    </i>
    <i>
      <x v="283"/>
    </i>
    <i>
      <x v="122"/>
    </i>
    <i>
      <x v="146"/>
    </i>
    <i>
      <x v="294"/>
    </i>
    <i>
      <x v="130"/>
    </i>
    <i>
      <x v="162"/>
    </i>
    <i t="grand">
      <x/>
    </i>
  </rowItems>
  <colFields count="1">
    <field x="3"/>
  </colFields>
  <colItems count="5">
    <i>
      <x v="2"/>
    </i>
    <i>
      <x v="3"/>
    </i>
    <i>
      <x v="7"/>
    </i>
    <i>
      <x v="8"/>
    </i>
    <i t="grand">
      <x/>
    </i>
  </colItems>
  <pageFields count="1">
    <pageField fld="2" hier="0"/>
  </pageFields>
  <dataFields count="1">
    <dataField name="Juunior M KOKKU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Juunior N" cacheId="6" applyNumberFormats="0" applyBorderFormats="0" applyFontFormats="0" applyPatternFormats="0" applyAlignmentFormats="0" applyWidthHeightFormats="0" dataCaption="" updatedVersion="8" compact="0" compactData="0">
  <location ref="A3:F39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h="1" x="0"/>
        <item h="1" x="1"/>
        <item h="1" x="2"/>
        <item x="3"/>
        <item h="1" x="4"/>
        <item h="1"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35">
    <i>
      <x v="238"/>
    </i>
    <i>
      <x v="219"/>
    </i>
    <i>
      <x v="224"/>
    </i>
    <i>
      <x v="231"/>
    </i>
    <i>
      <x v="241"/>
    </i>
    <i>
      <x v="243"/>
    </i>
    <i>
      <x v="121"/>
    </i>
    <i>
      <x v="213"/>
    </i>
    <i>
      <x v="223"/>
    </i>
    <i>
      <x v="234"/>
    </i>
    <i>
      <x v="115"/>
    </i>
    <i>
      <x v="221"/>
    </i>
    <i>
      <x v="229"/>
    </i>
    <i>
      <x v="217"/>
    </i>
    <i>
      <x v="246"/>
    </i>
    <i>
      <x v="249"/>
    </i>
    <i>
      <x v="296"/>
    </i>
    <i>
      <x v="278"/>
    </i>
    <i>
      <x v="271"/>
    </i>
    <i>
      <x v="284"/>
    </i>
    <i>
      <x v="251"/>
    </i>
    <i>
      <x v="160"/>
    </i>
    <i>
      <x v="123"/>
    </i>
    <i>
      <x v="155"/>
    </i>
    <i>
      <x v="256"/>
    </i>
    <i>
      <x v="138"/>
    </i>
    <i>
      <x v="144"/>
    </i>
    <i>
      <x v="153"/>
    </i>
    <i>
      <x v="156"/>
    </i>
    <i>
      <x v="132"/>
    </i>
    <i>
      <x v="277"/>
    </i>
    <i>
      <x v="151"/>
    </i>
    <i>
      <x v="128"/>
    </i>
    <i>
      <x v="163"/>
    </i>
    <i t="grand">
      <x/>
    </i>
  </rowItems>
  <colFields count="1">
    <field x="3"/>
  </colFields>
  <colItems count="5">
    <i>
      <x v="2"/>
    </i>
    <i>
      <x v="3"/>
    </i>
    <i>
      <x v="7"/>
    </i>
    <i>
      <x v="8"/>
    </i>
    <i t="grand">
      <x/>
    </i>
  </colItems>
  <pageFields count="1">
    <pageField fld="2" hier="0"/>
  </pageFields>
  <dataFields count="1">
    <dataField name="Juunior N TULEM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oisid" cacheId="6" applyNumberFormats="0" applyBorderFormats="0" applyFontFormats="0" applyPatternFormats="0" applyAlignmentFormats="0" applyWidthHeightFormats="0" dataCaption="" updatedVersion="8" compact="0" compactData="0">
  <location ref="A3:C15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h="1" x="0"/>
        <item h="1" x="1"/>
        <item h="1" x="2"/>
        <item h="1" x="3"/>
        <item x="4"/>
        <item h="1"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11">
    <i>
      <x v="263"/>
    </i>
    <i>
      <x v="257"/>
    </i>
    <i>
      <x v="270"/>
    </i>
    <i>
      <x v="290"/>
    </i>
    <i>
      <x v="280"/>
    </i>
    <i>
      <x v="302"/>
    </i>
    <i>
      <x v="245"/>
    </i>
    <i>
      <x v="288"/>
    </i>
    <i>
      <x v="292"/>
    </i>
    <i>
      <x v="298"/>
    </i>
    <i t="grand">
      <x/>
    </i>
  </rowItems>
  <colFields count="1">
    <field x="3"/>
  </colFields>
  <colItems count="2">
    <i>
      <x v="8"/>
    </i>
    <i t="grand">
      <x/>
    </i>
  </colItems>
  <pageFields count="1">
    <pageField fld="2" hier="0"/>
  </pageFields>
  <dataFields count="1">
    <dataField name="POISID TULEM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üdrukud" cacheId="6" applyNumberFormats="0" applyBorderFormats="0" applyFontFormats="0" applyPatternFormats="0" applyAlignmentFormats="0" applyWidthHeightFormats="0" dataCaption="" updatedVersion="8" compact="0" compactData="0">
  <location ref="A3:C18" firstHeaderRow="1" firstDataRow="2" firstDataCol="1" rowPageCount="1" colPageCount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axis="axisPage" compact="0" outline="0" multipleItemSelectionAllowed="1"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14">
    <i>
      <x v="258"/>
    </i>
    <i>
      <x v="269"/>
    </i>
    <i>
      <x v="250"/>
    </i>
    <i>
      <x v="248"/>
    </i>
    <i>
      <x v="293"/>
    </i>
    <i>
      <x v="299"/>
    </i>
    <i>
      <x v="295"/>
    </i>
    <i>
      <x v="281"/>
    </i>
    <i>
      <x v="291"/>
    </i>
    <i>
      <x v="289"/>
    </i>
    <i>
      <x v="260"/>
    </i>
    <i>
      <x v="285"/>
    </i>
    <i>
      <x v="297"/>
    </i>
    <i t="grand">
      <x/>
    </i>
  </rowItems>
  <colFields count="1">
    <field x="3"/>
  </colFields>
  <colItems count="2">
    <i>
      <x v="8"/>
    </i>
    <i t="grand">
      <x/>
    </i>
  </colItems>
  <pageFields count="1">
    <pageField fld="2" hier="0"/>
  </pageFields>
  <dataFields count="1">
    <dataField name="TÜDRUKUD TULEM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Üldarvestus" cacheId="6" applyNumberFormats="0" applyBorderFormats="0" applyFontFormats="0" applyPatternFormats="0" applyAlignmentFormats="0" applyWidthHeightFormats="0" dataCaption="" updatedVersion="8" compact="0" compactData="0">
  <location ref="A1:M312" firstHeaderRow="1" firstDataRow="2" firstDataCol="1"/>
  <pivotFields count="13">
    <pivotField name="Nimi" axis="axisRow" compact="0" outline="0" multipleItemSelectionAllowed="1" showAll="0" sortType="descending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h="1"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Malev" compact="0" outline="0" multipleItemSelectionAllowed="1" showAll="0"/>
    <pivotField name="Võistlusklass" compact="0" outline="0" multipleItemSelectionAllowed="1" showAll="0"/>
    <pivotField name="ALA" axis="axisCol" compact="0" outline="0" multipleItemSelectionAllowed="1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Kuidas võistleb" compact="0" outline="0" multipleItemSelectionAllowed="1" showAll="0"/>
    <pivotField name="Võistluspäev" compact="0" outline="0" multipleItemSelectionAllowed="1" showAll="0"/>
    <pivotField name="1. seeria" compact="0" outline="0" multipleItemSelectionAllowed="1" showAll="0"/>
    <pivotField name="2. seeria" compact="0" outline="0" multipleItemSelectionAllowed="1" showAll="0"/>
    <pivotField name="3. seeria" compact="0" outline="0" multipleItemSelectionAllowed="1" showAll="0"/>
    <pivotField name="4. seeria" compact="0" outline="0" multipleItemSelectionAllowed="1" showAll="0"/>
    <pivotField name="5. seeria" compact="0" outline="0" multipleItemSelectionAllowed="1" showAll="0"/>
    <pivotField name="6. seeria" compact="0" outline="0" multipleItemSelectionAllowed="1" showAll="0"/>
    <pivotField name="KOKKU" dataField="1" compact="0" outline="0" multipleItemSelectionAllowed="1" showAll="0"/>
  </pivotFields>
  <rowFields count="1">
    <field x="0"/>
  </rowFields>
  <rowItems count="310">
    <i>
      <x v="55"/>
    </i>
    <i>
      <x v="2"/>
    </i>
    <i>
      <x v="64"/>
    </i>
    <i>
      <x/>
    </i>
    <i>
      <x v="108"/>
    </i>
    <i>
      <x v="90"/>
    </i>
    <i>
      <x v="4"/>
    </i>
    <i>
      <x v="45"/>
    </i>
    <i>
      <x v="214"/>
    </i>
    <i>
      <x v="222"/>
    </i>
    <i>
      <x v="237"/>
    </i>
    <i>
      <x v="1"/>
    </i>
    <i>
      <x v="236"/>
    </i>
    <i>
      <x v="218"/>
    </i>
    <i>
      <x v="238"/>
    </i>
    <i>
      <x v="121"/>
    </i>
    <i>
      <x v="235"/>
    </i>
    <i>
      <x v="219"/>
    </i>
    <i>
      <x v="11"/>
    </i>
    <i>
      <x v="100"/>
    </i>
    <i>
      <x v="119"/>
    </i>
    <i>
      <x v="77"/>
    </i>
    <i>
      <x v="120"/>
    </i>
    <i>
      <x v="239"/>
    </i>
    <i>
      <x v="30"/>
    </i>
    <i>
      <x v="29"/>
    </i>
    <i>
      <x v="51"/>
    </i>
    <i>
      <x v="20"/>
    </i>
    <i>
      <x v="230"/>
    </i>
    <i>
      <x v="224"/>
    </i>
    <i>
      <x v="231"/>
    </i>
    <i>
      <x v="102"/>
    </i>
    <i>
      <x v="232"/>
    </i>
    <i>
      <x v="116"/>
    </i>
    <i>
      <x v="241"/>
    </i>
    <i>
      <x v="244"/>
    </i>
    <i>
      <x v="216"/>
    </i>
    <i>
      <x v="159"/>
    </i>
    <i>
      <x v="72"/>
    </i>
    <i>
      <x v="158"/>
    </i>
    <i>
      <x v="233"/>
    </i>
    <i>
      <x v="118"/>
    </i>
    <i>
      <x v="47"/>
    </i>
    <i>
      <x v="148"/>
    </i>
    <i>
      <x v="135"/>
    </i>
    <i>
      <x v="31"/>
    </i>
    <i>
      <x v="188"/>
    </i>
    <i>
      <x v="243"/>
    </i>
    <i>
      <x v="79"/>
    </i>
    <i>
      <x v="76"/>
    </i>
    <i>
      <x v="83"/>
    </i>
    <i>
      <x v="81"/>
    </i>
    <i>
      <x v="87"/>
    </i>
    <i>
      <x v="60"/>
    </i>
    <i>
      <x v="62"/>
    </i>
    <i>
      <x v="61"/>
    </i>
    <i>
      <x v="242"/>
    </i>
    <i>
      <x v="86"/>
    </i>
    <i>
      <x v="101"/>
    </i>
    <i>
      <x v="211"/>
    </i>
    <i>
      <x v="240"/>
    </i>
    <i>
      <x v="94"/>
    </i>
    <i>
      <x v="110"/>
    </i>
    <i>
      <x v="25"/>
    </i>
    <i>
      <x v="106"/>
    </i>
    <i>
      <x v="104"/>
    </i>
    <i>
      <x v="213"/>
    </i>
    <i>
      <x v="210"/>
    </i>
    <i>
      <x v="114"/>
    </i>
    <i>
      <x v="124"/>
    </i>
    <i>
      <x v="63"/>
    </i>
    <i>
      <x v="223"/>
    </i>
    <i>
      <x v="220"/>
    </i>
    <i>
      <x v="187"/>
    </i>
    <i>
      <x v="136"/>
    </i>
    <i>
      <x v="226"/>
    </i>
    <i>
      <x v="99"/>
    </i>
    <i>
      <x v="98"/>
    </i>
    <i>
      <x v="212"/>
    </i>
    <i>
      <x v="103"/>
    </i>
    <i>
      <x v="82"/>
    </i>
    <i>
      <x v="66"/>
    </i>
    <i>
      <x v="93"/>
    </i>
    <i>
      <x v="16"/>
    </i>
    <i>
      <x v="5"/>
    </i>
    <i>
      <x v="117"/>
    </i>
    <i>
      <x v="97"/>
    </i>
    <i>
      <x v="234"/>
    </i>
    <i>
      <x v="54"/>
    </i>
    <i>
      <x v="172"/>
    </i>
    <i>
      <x v="105"/>
    </i>
    <i>
      <x v="225"/>
    </i>
    <i>
      <x v="33"/>
    </i>
    <i>
      <x v="141"/>
    </i>
    <i>
      <x v="174"/>
    </i>
    <i>
      <x v="145"/>
    </i>
    <i>
      <x v="8"/>
    </i>
    <i>
      <x v="6"/>
    </i>
    <i>
      <x v="65"/>
    </i>
    <i>
      <x v="137"/>
    </i>
    <i>
      <x v="28"/>
    </i>
    <i>
      <x v="24"/>
    </i>
    <i>
      <x v="171"/>
    </i>
    <i>
      <x v="134"/>
    </i>
    <i>
      <x v="180"/>
    </i>
    <i>
      <x v="194"/>
    </i>
    <i>
      <x v="38"/>
    </i>
    <i>
      <x v="115"/>
    </i>
    <i>
      <x v="215"/>
    </i>
    <i>
      <x v="10"/>
    </i>
    <i>
      <x v="221"/>
    </i>
    <i>
      <x v="113"/>
    </i>
    <i>
      <x v="167"/>
    </i>
    <i>
      <x v="13"/>
    </i>
    <i>
      <x v="58"/>
    </i>
    <i>
      <x v="109"/>
    </i>
    <i>
      <x v="133"/>
    </i>
    <i>
      <x v="227"/>
    </i>
    <i>
      <x v="36"/>
    </i>
    <i>
      <x v="56"/>
    </i>
    <i>
      <x v="191"/>
    </i>
    <i>
      <x v="68"/>
    </i>
    <i>
      <x v="49"/>
    </i>
    <i>
      <x v="12"/>
    </i>
    <i>
      <x v="229"/>
    </i>
    <i>
      <x v="19"/>
    </i>
    <i>
      <x v="48"/>
    </i>
    <i>
      <x v="34"/>
    </i>
    <i>
      <x v="46"/>
    </i>
    <i>
      <x v="84"/>
    </i>
    <i>
      <x v="166"/>
    </i>
    <i>
      <x v="196"/>
    </i>
    <i>
      <x v="92"/>
    </i>
    <i>
      <x v="217"/>
    </i>
    <i>
      <x v="17"/>
    </i>
    <i>
      <x v="75"/>
    </i>
    <i>
      <x v="44"/>
    </i>
    <i>
      <x v="112"/>
    </i>
    <i>
      <x v="53"/>
    </i>
    <i>
      <x v="35"/>
    </i>
    <i>
      <x v="228"/>
    </i>
    <i>
      <x v="91"/>
    </i>
    <i>
      <x v="14"/>
    </i>
    <i>
      <x v="111"/>
    </i>
    <i>
      <x v="50"/>
    </i>
    <i>
      <x v="70"/>
    </i>
    <i>
      <x v="178"/>
    </i>
    <i>
      <x v="39"/>
    </i>
    <i>
      <x v="22"/>
    </i>
    <i>
      <x v="189"/>
    </i>
    <i>
      <x v="7"/>
    </i>
    <i>
      <x v="80"/>
    </i>
    <i>
      <x v="192"/>
    </i>
    <i>
      <x v="15"/>
    </i>
    <i>
      <x v="26"/>
    </i>
    <i>
      <x v="69"/>
    </i>
    <i>
      <x v="78"/>
    </i>
    <i>
      <x v="88"/>
    </i>
    <i>
      <x v="267"/>
    </i>
    <i>
      <x v="266"/>
    </i>
    <i>
      <x v="263"/>
    </i>
    <i>
      <x v="252"/>
    </i>
    <i>
      <x v="253"/>
    </i>
    <i>
      <x v="258"/>
    </i>
    <i>
      <x v="246"/>
    </i>
    <i>
      <x v="85"/>
    </i>
    <i>
      <x v="257"/>
    </i>
    <i>
      <x v="282"/>
    </i>
    <i>
      <x v="269"/>
    </i>
    <i>
      <x v="250"/>
    </i>
    <i>
      <x v="248"/>
    </i>
    <i>
      <x v="249"/>
    </i>
    <i>
      <x v="286"/>
    </i>
    <i>
      <x v="293"/>
    </i>
    <i>
      <x v="296"/>
    </i>
    <i>
      <x v="205"/>
    </i>
    <i>
      <x v="247"/>
    </i>
    <i>
      <x v="259"/>
    </i>
    <i>
      <x v="270"/>
    </i>
    <i>
      <x v="272"/>
    </i>
    <i>
      <x v="274"/>
    </i>
    <i>
      <x v="207"/>
    </i>
    <i>
      <x v="206"/>
    </i>
    <i>
      <x v="265"/>
    </i>
    <i>
      <x v="290"/>
    </i>
    <i>
      <x v="280"/>
    </i>
    <i>
      <x v="278"/>
    </i>
    <i>
      <x v="271"/>
    </i>
    <i>
      <x v="302"/>
    </i>
    <i>
      <x v="261"/>
    </i>
    <i>
      <x v="125"/>
    </i>
    <i>
      <x v="264"/>
    </i>
    <i>
      <x v="284"/>
    </i>
    <i>
      <x v="262"/>
    </i>
    <i>
      <x v="150"/>
    </i>
    <i>
      <x v="273"/>
    </i>
    <i>
      <x v="276"/>
    </i>
    <i>
      <x v="245"/>
    </i>
    <i>
      <x v="287"/>
    </i>
    <i>
      <x v="73"/>
    </i>
    <i>
      <x v="279"/>
    </i>
    <i>
      <x v="299"/>
    </i>
    <i>
      <x v="251"/>
    </i>
    <i>
      <x v="160"/>
    </i>
    <i>
      <x v="288"/>
    </i>
    <i>
      <x v="295"/>
    </i>
    <i>
      <x v="152"/>
    </i>
    <i>
      <x v="292"/>
    </i>
    <i>
      <x v="281"/>
    </i>
    <i>
      <x v="291"/>
    </i>
    <i>
      <x v="289"/>
    </i>
    <i>
      <x v="255"/>
    </i>
    <i>
      <x v="67"/>
    </i>
    <i>
      <x v="32"/>
    </i>
    <i>
      <x v="300"/>
    </i>
    <i>
      <x v="268"/>
    </i>
    <i>
      <x v="123"/>
    </i>
    <i>
      <x v="71"/>
    </i>
    <i>
      <x v="260"/>
    </i>
    <i>
      <x v="142"/>
    </i>
    <i>
      <x v="155"/>
    </i>
    <i>
      <x v="23"/>
    </i>
    <i>
      <x v="9"/>
    </i>
    <i>
      <x v="139"/>
    </i>
    <i>
      <x v="21"/>
    </i>
    <i>
      <x v="37"/>
    </i>
    <i>
      <x v="203"/>
    </i>
    <i>
      <x v="301"/>
    </i>
    <i>
      <x v="169"/>
    </i>
    <i>
      <x v="131"/>
    </i>
    <i>
      <x v="256"/>
    </i>
    <i>
      <x v="275"/>
    </i>
    <i>
      <x v="127"/>
    </i>
    <i>
      <x v="170"/>
    </i>
    <i>
      <x v="149"/>
    </i>
    <i>
      <x v="283"/>
    </i>
    <i>
      <x v="285"/>
    </i>
    <i>
      <x v="18"/>
    </i>
    <i>
      <x v="298"/>
    </i>
    <i>
      <x v="74"/>
    </i>
    <i>
      <x v="161"/>
    </i>
    <i>
      <x v="126"/>
    </i>
    <i>
      <x v="168"/>
    </i>
    <i>
      <x v="43"/>
    </i>
    <i>
      <x v="40"/>
    </i>
    <i>
      <x v="140"/>
    </i>
    <i>
      <x v="122"/>
    </i>
    <i>
      <x v="138"/>
    </i>
    <i>
      <x v="165"/>
    </i>
    <i>
      <x v="182"/>
    </i>
    <i>
      <x v="204"/>
    </i>
    <i>
      <x v="154"/>
    </i>
    <i>
      <x v="52"/>
    </i>
    <i>
      <x v="41"/>
    </i>
    <i>
      <x v="176"/>
    </i>
    <i>
      <x v="195"/>
    </i>
    <i>
      <x v="144"/>
    </i>
    <i>
      <x v="200"/>
    </i>
    <i>
      <x v="164"/>
    </i>
    <i>
      <x v="179"/>
    </i>
    <i>
      <x v="153"/>
    </i>
    <i>
      <x v="146"/>
    </i>
    <i>
      <x v="209"/>
    </i>
    <i>
      <x v="175"/>
    </i>
    <i>
      <x v="59"/>
    </i>
    <i>
      <x v="297"/>
    </i>
    <i>
      <x v="3"/>
    </i>
    <i>
      <x v="190"/>
    </i>
    <i>
      <x v="294"/>
    </i>
    <i>
      <x v="173"/>
    </i>
    <i>
      <x v="156"/>
    </i>
    <i>
      <x v="132"/>
    </i>
    <i>
      <x v="197"/>
    </i>
    <i>
      <x v="277"/>
    </i>
    <i>
      <x v="184"/>
    </i>
    <i>
      <x v="181"/>
    </i>
    <i>
      <x v="157"/>
    </i>
    <i>
      <x v="130"/>
    </i>
    <i>
      <x v="198"/>
    </i>
    <i>
      <x v="147"/>
    </i>
    <i>
      <x v="129"/>
    </i>
    <i>
      <x v="151"/>
    </i>
    <i>
      <x v="57"/>
    </i>
    <i>
      <x v="42"/>
    </i>
    <i>
      <x v="208"/>
    </i>
    <i>
      <x v="202"/>
    </i>
    <i>
      <x v="201"/>
    </i>
    <i>
      <x v="183"/>
    </i>
    <i>
      <x v="186"/>
    </i>
    <i>
      <x v="143"/>
    </i>
    <i>
      <x v="107"/>
    </i>
    <i>
      <x v="199"/>
    </i>
    <i>
      <x v="305"/>
    </i>
    <i>
      <x v="307"/>
    </i>
    <i>
      <x v="304"/>
    </i>
    <i>
      <x v="308"/>
    </i>
    <i>
      <x v="95"/>
    </i>
    <i>
      <x v="303"/>
    </i>
    <i>
      <x v="128"/>
    </i>
    <i>
      <x v="306"/>
    </i>
    <i>
      <x v="162"/>
    </i>
    <i>
      <x v="177"/>
    </i>
    <i>
      <x v="193"/>
    </i>
    <i>
      <x v="185"/>
    </i>
    <i>
      <x v="27"/>
    </i>
    <i>
      <x v="89"/>
    </i>
    <i>
      <x v="163"/>
    </i>
    <i>
      <x v="96"/>
    </i>
    <i>
      <x v="309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ÜLDARVESTUS" fld="1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9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8" sqref="E28"/>
    </sheetView>
  </sheetViews>
  <sheetFormatPr defaultColWidth="12.5703125" defaultRowHeight="15.75" customHeight="1"/>
  <cols>
    <col min="1" max="1" width="13.5703125" customWidth="1"/>
    <col min="2" max="8" width="6.85546875" customWidth="1"/>
    <col min="9" max="9" width="7.5703125" customWidth="1"/>
    <col min="10" max="10" width="7.42578125" customWidth="1"/>
    <col min="11" max="11" width="6.85546875" customWidth="1"/>
    <col min="12" max="12" width="13.140625" customWidth="1"/>
  </cols>
  <sheetData>
    <row r="1" spans="1:12" ht="12.75">
      <c r="A1" s="47" t="s">
        <v>371</v>
      </c>
      <c r="B1" s="48" t="s">
        <v>381</v>
      </c>
    </row>
    <row r="2" spans="1:12" ht="12.75"/>
    <row r="3" spans="1:12" ht="12.75">
      <c r="A3" s="30" t="s">
        <v>0</v>
      </c>
      <c r="B3" s="30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>
      <c r="A4" s="30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425</v>
      </c>
    </row>
    <row r="5" spans="1:12" ht="12.75">
      <c r="A5" s="33" t="s">
        <v>13</v>
      </c>
      <c r="B5" s="36">
        <v>1059</v>
      </c>
      <c r="C5" s="37">
        <v>244.5</v>
      </c>
      <c r="D5" s="37">
        <v>535</v>
      </c>
      <c r="E5" s="37">
        <v>1083</v>
      </c>
      <c r="F5" s="37">
        <v>536</v>
      </c>
      <c r="G5" s="37">
        <v>753</v>
      </c>
      <c r="H5" s="37">
        <v>250</v>
      </c>
      <c r="I5" s="37">
        <v>1125.5</v>
      </c>
      <c r="J5" s="37">
        <v>1803.0000000000002</v>
      </c>
      <c r="K5" s="37">
        <v>286.5</v>
      </c>
      <c r="L5" s="38">
        <v>7675.5</v>
      </c>
    </row>
    <row r="6" spans="1:12" ht="12.75">
      <c r="A6" s="39" t="s">
        <v>14</v>
      </c>
      <c r="B6" s="40">
        <v>1066</v>
      </c>
      <c r="C6" s="41">
        <v>253.5</v>
      </c>
      <c r="D6" s="41">
        <v>543.5</v>
      </c>
      <c r="E6" s="41">
        <v>1005</v>
      </c>
      <c r="F6" s="41">
        <v>491</v>
      </c>
      <c r="G6" s="41">
        <v>651</v>
      </c>
      <c r="H6" s="41">
        <v>297</v>
      </c>
      <c r="I6" s="41">
        <v>1086</v>
      </c>
      <c r="J6" s="41">
        <v>1721.3000000000002</v>
      </c>
      <c r="K6" s="41">
        <v>267</v>
      </c>
      <c r="L6" s="42">
        <v>7381.3</v>
      </c>
    </row>
    <row r="7" spans="1:12" ht="12.75">
      <c r="A7" s="39" t="s">
        <v>15</v>
      </c>
      <c r="B7" s="40">
        <v>1108</v>
      </c>
      <c r="C7" s="41">
        <v>276</v>
      </c>
      <c r="D7" s="41">
        <v>558</v>
      </c>
      <c r="E7" s="41">
        <v>1052</v>
      </c>
      <c r="F7" s="41">
        <v>536</v>
      </c>
      <c r="G7" s="41">
        <v>684</v>
      </c>
      <c r="H7" s="41">
        <v>221</v>
      </c>
      <c r="I7" s="41">
        <v>807</v>
      </c>
      <c r="J7" s="41">
        <v>1781.6999999999998</v>
      </c>
      <c r="K7" s="41">
        <v>267</v>
      </c>
      <c r="L7" s="42">
        <v>7290.7</v>
      </c>
    </row>
    <row r="8" spans="1:12" ht="12.75">
      <c r="A8" s="39" t="s">
        <v>16</v>
      </c>
      <c r="B8" s="40">
        <v>1002</v>
      </c>
      <c r="C8" s="41">
        <v>211.5</v>
      </c>
      <c r="D8" s="41">
        <v>552</v>
      </c>
      <c r="E8" s="41">
        <v>974</v>
      </c>
      <c r="F8" s="41">
        <v>520</v>
      </c>
      <c r="G8" s="41">
        <v>603</v>
      </c>
      <c r="H8" s="41">
        <v>267</v>
      </c>
      <c r="I8" s="41">
        <v>1001.5</v>
      </c>
      <c r="J8" s="41">
        <v>1746.3000000000002</v>
      </c>
      <c r="K8" s="41">
        <v>258</v>
      </c>
      <c r="L8" s="42">
        <v>7135.3</v>
      </c>
    </row>
    <row r="9" spans="1:12" ht="12.75">
      <c r="A9" s="39" t="s">
        <v>17</v>
      </c>
      <c r="B9" s="40">
        <v>1036</v>
      </c>
      <c r="C9" s="41">
        <v>249</v>
      </c>
      <c r="D9" s="41">
        <v>229</v>
      </c>
      <c r="E9" s="41">
        <v>888</v>
      </c>
      <c r="F9" s="41">
        <v>501</v>
      </c>
      <c r="G9" s="41">
        <v>633</v>
      </c>
      <c r="H9" s="41">
        <v>297</v>
      </c>
      <c r="I9" s="41">
        <v>1089</v>
      </c>
      <c r="J9" s="41">
        <v>1762.1</v>
      </c>
      <c r="K9" s="41">
        <v>255</v>
      </c>
      <c r="L9" s="42">
        <v>6939.1</v>
      </c>
    </row>
    <row r="10" spans="1:12" ht="12.75">
      <c r="A10" s="39" t="s">
        <v>18</v>
      </c>
      <c r="B10" s="40">
        <v>965</v>
      </c>
      <c r="C10" s="41">
        <v>243</v>
      </c>
      <c r="D10" s="41">
        <v>518.5</v>
      </c>
      <c r="E10" s="41">
        <v>767</v>
      </c>
      <c r="F10" s="41">
        <v>507</v>
      </c>
      <c r="G10" s="41">
        <v>679</v>
      </c>
      <c r="H10" s="41">
        <v>266</v>
      </c>
      <c r="I10" s="41">
        <v>938</v>
      </c>
      <c r="J10" s="41">
        <v>1625.8000000000002</v>
      </c>
      <c r="K10" s="41">
        <v>271.5</v>
      </c>
      <c r="L10" s="42">
        <v>6780.8</v>
      </c>
    </row>
    <row r="11" spans="1:12" ht="12.75">
      <c r="A11" s="39" t="s">
        <v>19</v>
      </c>
      <c r="B11" s="40">
        <v>860</v>
      </c>
      <c r="C11" s="41">
        <v>207</v>
      </c>
      <c r="D11" s="41">
        <v>564.5</v>
      </c>
      <c r="E11" s="41">
        <v>1092</v>
      </c>
      <c r="F11" s="41">
        <v>501</v>
      </c>
      <c r="G11" s="41">
        <v>613</v>
      </c>
      <c r="H11" s="41">
        <v>241</v>
      </c>
      <c r="I11" s="41">
        <v>934.5</v>
      </c>
      <c r="J11" s="41">
        <v>1596.7</v>
      </c>
      <c r="K11" s="41">
        <v>148.5</v>
      </c>
      <c r="L11" s="42">
        <v>6758.2</v>
      </c>
    </row>
    <row r="12" spans="1:12" ht="12.75">
      <c r="A12" s="39" t="s">
        <v>20</v>
      </c>
      <c r="B12" s="40">
        <v>1019</v>
      </c>
      <c r="C12" s="41">
        <v>109.5</v>
      </c>
      <c r="D12" s="41">
        <v>523.5</v>
      </c>
      <c r="E12" s="41">
        <v>758</v>
      </c>
      <c r="F12" s="41">
        <v>492</v>
      </c>
      <c r="G12" s="41">
        <v>553</v>
      </c>
      <c r="H12" s="41">
        <v>238</v>
      </c>
      <c r="I12" s="41">
        <v>816</v>
      </c>
      <c r="J12" s="41">
        <v>1727.0000000000002</v>
      </c>
      <c r="K12" s="41">
        <v>252</v>
      </c>
      <c r="L12" s="42">
        <v>6488</v>
      </c>
    </row>
    <row r="13" spans="1:12" ht="12.75">
      <c r="A13" s="39" t="s">
        <v>21</v>
      </c>
      <c r="B13" s="40">
        <v>1073</v>
      </c>
      <c r="C13" s="41">
        <v>219</v>
      </c>
      <c r="D13" s="41">
        <v>271.5</v>
      </c>
      <c r="E13" s="41">
        <v>808</v>
      </c>
      <c r="F13" s="41">
        <v>444</v>
      </c>
      <c r="G13" s="41">
        <v>665</v>
      </c>
      <c r="H13" s="41">
        <v>295</v>
      </c>
      <c r="I13" s="41">
        <v>948.5</v>
      </c>
      <c r="J13" s="41">
        <v>1321.8000000000002</v>
      </c>
      <c r="K13" s="41">
        <v>265.5</v>
      </c>
      <c r="L13" s="42">
        <v>6311.3</v>
      </c>
    </row>
    <row r="14" spans="1:12" ht="12.75">
      <c r="A14" s="39" t="s">
        <v>22</v>
      </c>
      <c r="B14" s="40">
        <v>902</v>
      </c>
      <c r="C14" s="41">
        <v>211.5</v>
      </c>
      <c r="D14" s="41">
        <v>402</v>
      </c>
      <c r="E14" s="41">
        <v>650</v>
      </c>
      <c r="F14" s="41">
        <v>480</v>
      </c>
      <c r="G14" s="41">
        <v>491</v>
      </c>
      <c r="H14" s="41">
        <v>208</v>
      </c>
      <c r="I14" s="41">
        <v>822.5</v>
      </c>
      <c r="J14" s="41">
        <v>1631.6</v>
      </c>
      <c r="K14" s="41">
        <v>268.5</v>
      </c>
      <c r="L14" s="42">
        <v>6067.1</v>
      </c>
    </row>
    <row r="15" spans="1:12" ht="12.75">
      <c r="A15" s="39" t="s">
        <v>23</v>
      </c>
      <c r="B15" s="40">
        <v>978</v>
      </c>
      <c r="C15" s="41">
        <v>250.5</v>
      </c>
      <c r="D15" s="41">
        <v>414</v>
      </c>
      <c r="E15" s="41">
        <v>662</v>
      </c>
      <c r="F15" s="41">
        <v>383</v>
      </c>
      <c r="G15" s="41">
        <v>573</v>
      </c>
      <c r="H15" s="41">
        <v>250</v>
      </c>
      <c r="I15" s="41">
        <v>496</v>
      </c>
      <c r="J15" s="41">
        <v>1676.3</v>
      </c>
      <c r="K15" s="41">
        <v>193.5</v>
      </c>
      <c r="L15" s="42">
        <v>5876.3</v>
      </c>
    </row>
    <row r="16" spans="1:12" ht="12.75">
      <c r="A16" s="39" t="s">
        <v>24</v>
      </c>
      <c r="B16" s="40">
        <v>982</v>
      </c>
      <c r="C16" s="41">
        <v>214.5</v>
      </c>
      <c r="D16" s="41">
        <v>260</v>
      </c>
      <c r="E16" s="41">
        <v>192</v>
      </c>
      <c r="F16" s="41">
        <v>471</v>
      </c>
      <c r="G16" s="41">
        <v>613</v>
      </c>
      <c r="H16" s="41">
        <v>290</v>
      </c>
      <c r="I16" s="41">
        <v>536</v>
      </c>
      <c r="J16" s="41">
        <v>885.2</v>
      </c>
      <c r="K16" s="41">
        <v>243</v>
      </c>
      <c r="L16" s="42">
        <v>4686.7</v>
      </c>
    </row>
    <row r="17" spans="1:12" ht="17.25" customHeight="1">
      <c r="A17" s="39" t="s">
        <v>25</v>
      </c>
      <c r="B17" s="40">
        <v>1001</v>
      </c>
      <c r="C17" s="41">
        <v>190.5</v>
      </c>
      <c r="D17" s="41">
        <v>177.5</v>
      </c>
      <c r="E17" s="41">
        <v>459</v>
      </c>
      <c r="F17" s="41">
        <v>484</v>
      </c>
      <c r="G17" s="41">
        <v>590</v>
      </c>
      <c r="H17" s="41">
        <v>288</v>
      </c>
      <c r="I17" s="41">
        <v>285.5</v>
      </c>
      <c r="J17" s="41">
        <v>576.5</v>
      </c>
      <c r="K17" s="41">
        <v>264</v>
      </c>
      <c r="L17" s="42">
        <v>4316</v>
      </c>
    </row>
    <row r="18" spans="1:12" ht="16.5" customHeight="1">
      <c r="A18" s="39" t="s">
        <v>26</v>
      </c>
      <c r="B18" s="40">
        <v>834</v>
      </c>
      <c r="C18" s="41">
        <v>211.5</v>
      </c>
      <c r="D18" s="41">
        <v>198.5</v>
      </c>
      <c r="E18" s="41">
        <v>543</v>
      </c>
      <c r="F18" s="41">
        <v>512</v>
      </c>
      <c r="G18" s="41">
        <v>364</v>
      </c>
      <c r="H18" s="41">
        <v>248</v>
      </c>
      <c r="I18" s="41"/>
      <c r="J18" s="41">
        <v>591.29999999999995</v>
      </c>
      <c r="K18" s="41">
        <v>241.5</v>
      </c>
      <c r="L18" s="42">
        <v>3743.8</v>
      </c>
    </row>
    <row r="19" spans="1:12" ht="15.75" customHeight="1">
      <c r="A19" s="39" t="s">
        <v>27</v>
      </c>
      <c r="B19" s="40">
        <v>1046</v>
      </c>
      <c r="C19" s="41">
        <v>202.5</v>
      </c>
      <c r="D19" s="41"/>
      <c r="E19" s="41"/>
      <c r="F19" s="41">
        <v>259</v>
      </c>
      <c r="G19" s="41">
        <v>742</v>
      </c>
      <c r="H19" s="41">
        <v>267</v>
      </c>
      <c r="I19" s="41"/>
      <c r="J19" s="41"/>
      <c r="K19" s="41">
        <v>255</v>
      </c>
      <c r="L19" s="42">
        <v>2771.5</v>
      </c>
    </row>
    <row r="20" spans="1:12" ht="15" customHeight="1">
      <c r="A20" s="39" t="s">
        <v>28</v>
      </c>
      <c r="B20" s="40">
        <v>268</v>
      </c>
      <c r="C20" s="41">
        <v>279</v>
      </c>
      <c r="D20" s="41">
        <v>138</v>
      </c>
      <c r="E20" s="41">
        <v>278</v>
      </c>
      <c r="F20" s="41">
        <v>492</v>
      </c>
      <c r="G20" s="41">
        <v>627</v>
      </c>
      <c r="H20" s="41"/>
      <c r="I20" s="41"/>
      <c r="J20" s="41"/>
      <c r="K20" s="41">
        <v>199.5</v>
      </c>
      <c r="L20" s="42">
        <v>2281.5</v>
      </c>
    </row>
    <row r="21" spans="1:12" ht="16.5" customHeight="1">
      <c r="A21" s="43" t="s">
        <v>425</v>
      </c>
      <c r="B21" s="44">
        <v>15199</v>
      </c>
      <c r="C21" s="45">
        <v>3573</v>
      </c>
      <c r="D21" s="45">
        <v>5885.5</v>
      </c>
      <c r="E21" s="45">
        <v>11211</v>
      </c>
      <c r="F21" s="45">
        <v>7609</v>
      </c>
      <c r="G21" s="45">
        <v>9834</v>
      </c>
      <c r="H21" s="45">
        <v>3923</v>
      </c>
      <c r="I21" s="45">
        <v>10886</v>
      </c>
      <c r="J21" s="45">
        <v>20446.599999999999</v>
      </c>
      <c r="K21" s="45">
        <v>3936</v>
      </c>
      <c r="L21" s="46">
        <v>92503.1</v>
      </c>
    </row>
    <row r="22" spans="1:12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</row>
    <row r="23" spans="1:12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</row>
    <row r="24" spans="1:12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</row>
    <row r="25" spans="1:12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</row>
    <row r="26" spans="1:12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1:12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</row>
    <row r="28" spans="1:12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</row>
    <row r="29" spans="1:12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</row>
    <row r="30" spans="1:12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</row>
    <row r="32" spans="1:12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</row>
    <row r="33" spans="1:12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</row>
    <row r="34" spans="1:12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</row>
    <row r="35" spans="1:12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</row>
    <row r="36" spans="1:12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</row>
    <row r="37" spans="1:12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</row>
    <row r="38" spans="1:12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1:12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4"/>
    </row>
    <row r="40" spans="1:12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4"/>
    </row>
    <row r="41" spans="1:12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4"/>
    </row>
    <row r="42" spans="1:12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4"/>
    </row>
    <row r="43" spans="1:12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4"/>
    </row>
    <row r="44" spans="1:12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4"/>
    </row>
    <row r="45" spans="1:12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4"/>
    </row>
    <row r="46" spans="1:12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4"/>
    </row>
    <row r="47" spans="1:12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4"/>
    </row>
    <row r="48" spans="1:12" ht="12.7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4"/>
    </row>
    <row r="49" spans="1:12" ht="12.7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4"/>
    </row>
    <row r="50" spans="1:12" ht="12.7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2" ht="12.7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2" ht="12.7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4"/>
    </row>
    <row r="53" spans="1:12" ht="12.7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4"/>
    </row>
    <row r="54" spans="1:12" ht="12.7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1:12" ht="12.7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12" ht="12.7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4"/>
    </row>
    <row r="57" spans="1:12" ht="12.7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1:12" ht="12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4"/>
    </row>
    <row r="59" spans="1:12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4"/>
    </row>
    <row r="60" spans="1:12" ht="12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1:12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4"/>
    </row>
    <row r="62" spans="1:12" ht="12.7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4"/>
    </row>
    <row r="63" spans="1:12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4"/>
    </row>
    <row r="64" spans="1:12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1:12" ht="12.7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1:12" ht="12.7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1:12" ht="12.7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1:12" ht="12.7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</row>
    <row r="69" spans="1:12" ht="12.7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4"/>
    </row>
    <row r="70" spans="1:12" ht="12.7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4"/>
    </row>
    <row r="71" spans="1:12" ht="12.7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4"/>
    </row>
    <row r="72" spans="1:12" ht="12.7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4"/>
    </row>
    <row r="73" spans="1:12" ht="12.7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4"/>
    </row>
    <row r="74" spans="1:12" ht="12.7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4"/>
    </row>
    <row r="75" spans="1:12" ht="12.7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</row>
    <row r="76" spans="1:12" ht="12.7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4"/>
    </row>
    <row r="77" spans="1:12" ht="12.7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4"/>
    </row>
    <row r="78" spans="1:12" ht="12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4"/>
    </row>
    <row r="79" spans="1:12" ht="12.7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4"/>
    </row>
    <row r="80" spans="1:12" ht="12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4"/>
    </row>
    <row r="81" spans="1:12" ht="12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4"/>
    </row>
    <row r="82" spans="1:12" ht="12.7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4"/>
    </row>
    <row r="83" spans="1:12" ht="12.7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4"/>
    </row>
    <row r="84" spans="1:12" ht="12.7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4"/>
    </row>
    <row r="85" spans="1:12" ht="12.75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4"/>
    </row>
    <row r="86" spans="1:12" ht="12.7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4"/>
    </row>
    <row r="87" spans="1:12" ht="12.7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4"/>
    </row>
    <row r="88" spans="1:12" ht="12.7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4"/>
    </row>
    <row r="89" spans="1:12" ht="12.7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4"/>
    </row>
    <row r="90" spans="1:12" ht="12.7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4"/>
    </row>
    <row r="91" spans="1:12" ht="12.7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4"/>
    </row>
    <row r="92" spans="1:12" ht="12.7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4"/>
    </row>
    <row r="93" spans="1:12" ht="12.7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4"/>
    </row>
    <row r="94" spans="1:12" ht="12.7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4"/>
    </row>
    <row r="95" spans="1:12" ht="12.75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1:12" ht="12.7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4"/>
    </row>
    <row r="97" spans="1:12" ht="12.7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4"/>
    </row>
    <row r="98" spans="1:12" ht="12.7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4"/>
    </row>
    <row r="99" spans="1:12" ht="12.7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4"/>
    </row>
    <row r="100" spans="1:12" ht="12.7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"/>
    </row>
    <row r="101" spans="1:12" ht="12.7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"/>
    </row>
    <row r="102" spans="1:12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"/>
    </row>
    <row r="103" spans="1:12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"/>
    </row>
    <row r="104" spans="1:12" ht="12.75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"/>
    </row>
    <row r="105" spans="1:12" ht="12.7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"/>
    </row>
    <row r="106" spans="1:12" ht="12.75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"/>
    </row>
    <row r="107" spans="1:12" ht="12.75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"/>
    </row>
    <row r="108" spans="1:12" ht="12.7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"/>
    </row>
    <row r="109" spans="1:12" ht="12.7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"/>
    </row>
    <row r="110" spans="1:12" ht="12.75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"/>
    </row>
    <row r="111" spans="1:12" ht="12.75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"/>
    </row>
    <row r="112" spans="1:12" ht="12.75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"/>
    </row>
    <row r="113" spans="1:12" ht="12.7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"/>
    </row>
    <row r="114" spans="1:12" ht="12.7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"/>
    </row>
    <row r="115" spans="1:12" ht="12.7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"/>
    </row>
    <row r="116" spans="1:12" ht="12.7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"/>
    </row>
    <row r="117" spans="1:12" ht="12.7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"/>
    </row>
    <row r="118" spans="1:12" ht="12.7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"/>
    </row>
    <row r="119" spans="1:12" ht="12.7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"/>
    </row>
    <row r="120" spans="1:12" ht="12.7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"/>
    </row>
    <row r="121" spans="1:12" ht="12.7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1:12" ht="12.7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"/>
    </row>
    <row r="123" spans="1:12" ht="12.7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1:12" ht="12.7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1:12" ht="12.75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1:12" ht="12.75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 ht="12.75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1:12" ht="12.75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1:12" ht="12.7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"/>
    </row>
    <row r="149" spans="1:12" ht="12.7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1:12" ht="12.75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"/>
    </row>
    <row r="151" spans="1:12" ht="12.75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"/>
    </row>
    <row r="152" spans="1:12" ht="12.75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"/>
    </row>
    <row r="153" spans="1:12" ht="12.7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"/>
    </row>
    <row r="154" spans="1:12" ht="12.7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"/>
    </row>
    <row r="155" spans="1:12" ht="12.75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"/>
    </row>
    <row r="156" spans="1:12" ht="12.75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"/>
    </row>
    <row r="157" spans="1:12" ht="12.75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"/>
    </row>
    <row r="158" spans="1:12" ht="12.7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"/>
    </row>
    <row r="159" spans="1:12" ht="12.7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"/>
    </row>
    <row r="160" spans="1:12" ht="12.75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"/>
    </row>
    <row r="161" spans="1:12" ht="12.75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"/>
    </row>
    <row r="162" spans="1:12" ht="12.75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"/>
    </row>
    <row r="163" spans="1:12" ht="12.7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"/>
    </row>
    <row r="164" spans="1:12" ht="12.7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"/>
    </row>
    <row r="165" spans="1:12" ht="12.75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"/>
    </row>
    <row r="166" spans="1:12" ht="12.75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"/>
    </row>
    <row r="167" spans="1:12" ht="12.7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"/>
    </row>
    <row r="168" spans="1:12" ht="12.7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"/>
    </row>
    <row r="169" spans="1:12" ht="12.7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"/>
    </row>
    <row r="170" spans="1:12" ht="12.7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"/>
    </row>
    <row r="171" spans="1:12" ht="12.7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"/>
    </row>
    <row r="172" spans="1:12" ht="12.7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"/>
    </row>
    <row r="173" spans="1:12" ht="12.7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"/>
    </row>
    <row r="174" spans="1:12" ht="12.7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"/>
    </row>
    <row r="175" spans="1:12" ht="12.7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"/>
    </row>
    <row r="176" spans="1:12" ht="12.7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"/>
    </row>
    <row r="177" spans="1:12" ht="12.7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"/>
    </row>
    <row r="178" spans="1:12" ht="12.7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"/>
    </row>
    <row r="179" spans="1:12" ht="12.7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"/>
    </row>
    <row r="180" spans="1:12" ht="12.7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"/>
    </row>
    <row r="181" spans="1:12" ht="12.7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"/>
    </row>
    <row r="182" spans="1:12" ht="12.7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"/>
    </row>
    <row r="183" spans="1:12" ht="12.7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"/>
    </row>
    <row r="184" spans="1:12" ht="12.7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"/>
    </row>
    <row r="185" spans="1:12" ht="12.7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"/>
    </row>
    <row r="186" spans="1:12" ht="12.7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"/>
    </row>
    <row r="187" spans="1:12" ht="12.7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"/>
    </row>
    <row r="188" spans="1:12" ht="12.7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"/>
    </row>
    <row r="189" spans="1:12" ht="12.7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"/>
    </row>
    <row r="190" spans="1:12" ht="12.7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"/>
    </row>
    <row r="191" spans="1:12" ht="12.7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"/>
    </row>
    <row r="192" spans="1:12" ht="12.7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"/>
    </row>
    <row r="193" spans="1:12" ht="12.7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"/>
    </row>
    <row r="194" spans="1:12" ht="12.7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"/>
    </row>
    <row r="195" spans="1:12" ht="12.7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"/>
    </row>
    <row r="196" spans="1:12" ht="12.7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"/>
    </row>
    <row r="197" spans="1:12" ht="12.7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"/>
    </row>
    <row r="198" spans="1:12" ht="12.7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"/>
    </row>
    <row r="199" spans="1:12" ht="12.7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"/>
    </row>
    <row r="200" spans="1:12" ht="12.7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"/>
    </row>
    <row r="201" spans="1:12" ht="12.7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"/>
    </row>
    <row r="202" spans="1:12" ht="12.7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"/>
    </row>
    <row r="203" spans="1:12" ht="12.7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"/>
    </row>
    <row r="204" spans="1:12" ht="12.7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"/>
    </row>
    <row r="205" spans="1:12" ht="12.7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"/>
    </row>
    <row r="206" spans="1:12" ht="12.7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"/>
    </row>
    <row r="207" spans="1:12" ht="12.7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"/>
    </row>
    <row r="208" spans="1:12" ht="12.7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"/>
    </row>
    <row r="209" spans="1:12" ht="12.7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"/>
    </row>
    <row r="210" spans="1:12" ht="12.7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"/>
    </row>
    <row r="211" spans="1:12" ht="12.7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"/>
    </row>
    <row r="212" spans="1:12" ht="12.7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"/>
    </row>
    <row r="213" spans="1:12" ht="12.7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"/>
    </row>
    <row r="214" spans="1:12" ht="12.7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"/>
    </row>
    <row r="215" spans="1:12" ht="12.7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"/>
    </row>
    <row r="216" spans="1:12" ht="12.7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"/>
    </row>
    <row r="217" spans="1:12" ht="12.7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"/>
    </row>
    <row r="218" spans="1:12" ht="12.7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"/>
    </row>
    <row r="219" spans="1:12" ht="12.7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"/>
    </row>
    <row r="220" spans="1:12" ht="12.7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"/>
    </row>
    <row r="221" spans="1:12" ht="12.7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"/>
    </row>
    <row r="222" spans="1:12" ht="12.7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"/>
    </row>
    <row r="223" spans="1:12" ht="12.7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"/>
    </row>
    <row r="224" spans="1:12" ht="12.7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"/>
    </row>
    <row r="225" spans="1:12" ht="12.7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"/>
    </row>
    <row r="226" spans="1:12" ht="12.7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"/>
    </row>
    <row r="227" spans="1:12" ht="12.7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"/>
    </row>
    <row r="228" spans="1:12" ht="12.7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"/>
    </row>
    <row r="229" spans="1:12" ht="12.7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"/>
    </row>
    <row r="230" spans="1:12" ht="12.7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"/>
    </row>
    <row r="231" spans="1:12" ht="12.7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"/>
    </row>
    <row r="232" spans="1:12" ht="12.7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"/>
    </row>
    <row r="233" spans="1:12" ht="12.7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"/>
    </row>
    <row r="234" spans="1:12" ht="12.7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"/>
    </row>
    <row r="235" spans="1:12" ht="12.7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"/>
    </row>
    <row r="236" spans="1:12" ht="12.7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"/>
    </row>
    <row r="237" spans="1:12" ht="12.7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"/>
    </row>
    <row r="238" spans="1:12" ht="12.7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"/>
    </row>
    <row r="239" spans="1:12" ht="12.7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"/>
    </row>
    <row r="240" spans="1:12" ht="12.7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"/>
    </row>
    <row r="241" spans="1:12" ht="12.7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"/>
    </row>
    <row r="242" spans="1:12" ht="12.7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"/>
    </row>
    <row r="243" spans="1:12" ht="12.7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"/>
    </row>
    <row r="244" spans="1:12" ht="12.7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"/>
    </row>
    <row r="245" spans="1:12" ht="12.7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"/>
    </row>
    <row r="246" spans="1:12" ht="12.7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"/>
    </row>
    <row r="247" spans="1:12" ht="12.7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"/>
    </row>
    <row r="248" spans="1:12" ht="12.7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"/>
    </row>
    <row r="249" spans="1:12" ht="12.7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"/>
    </row>
    <row r="250" spans="1:12" ht="12.7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"/>
    </row>
    <row r="251" spans="1:12" ht="12.7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"/>
    </row>
    <row r="252" spans="1:12" ht="12.7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"/>
    </row>
    <row r="253" spans="1:12" ht="12.7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"/>
    </row>
    <row r="254" spans="1:12" ht="12.7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"/>
    </row>
    <row r="255" spans="1:12" ht="12.7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"/>
    </row>
    <row r="256" spans="1:12" ht="12.7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"/>
    </row>
    <row r="257" spans="1:12" ht="12.7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"/>
    </row>
    <row r="258" spans="1:12" ht="12.7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"/>
    </row>
    <row r="259" spans="1:12" ht="12.7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1:12" ht="12.7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"/>
    </row>
    <row r="261" spans="1:12" ht="12.7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"/>
    </row>
    <row r="262" spans="1:12" ht="12.7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"/>
    </row>
    <row r="263" spans="1:12" ht="12.7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"/>
    </row>
    <row r="264" spans="1:12" ht="12.7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"/>
    </row>
    <row r="265" spans="1:12" ht="12.7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"/>
    </row>
    <row r="266" spans="1:12" ht="12.7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"/>
    </row>
    <row r="267" spans="1:12" ht="12.7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"/>
    </row>
    <row r="268" spans="1:12" ht="12.7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"/>
    </row>
    <row r="269" spans="1:12" ht="12.7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"/>
    </row>
    <row r="270" spans="1:12" ht="12.7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"/>
    </row>
    <row r="271" spans="1:12" ht="12.7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"/>
    </row>
    <row r="272" spans="1:12" ht="12.7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"/>
    </row>
    <row r="273" spans="1:12" ht="12.7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"/>
    </row>
    <row r="274" spans="1:12" ht="12.7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"/>
    </row>
    <row r="275" spans="1:12" ht="12.7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"/>
    </row>
    <row r="276" spans="1:12" ht="12.7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"/>
    </row>
    <row r="277" spans="1:12" ht="12.7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"/>
    </row>
    <row r="278" spans="1:12" ht="12.7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"/>
    </row>
    <row r="279" spans="1:12" ht="12.7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"/>
    </row>
    <row r="280" spans="1:12" ht="12.7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"/>
    </row>
    <row r="281" spans="1:12" ht="12.7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"/>
    </row>
    <row r="282" spans="1:12" ht="12.7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"/>
    </row>
    <row r="283" spans="1:12" ht="12.7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"/>
    </row>
    <row r="284" spans="1:12" ht="12.7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"/>
    </row>
    <row r="285" spans="1:12" ht="12.7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"/>
    </row>
    <row r="286" spans="1:12" ht="12.7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"/>
    </row>
    <row r="287" spans="1:12" ht="12.7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"/>
    </row>
    <row r="288" spans="1:12" ht="12.7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"/>
    </row>
    <row r="289" spans="1:12" ht="12.7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"/>
    </row>
    <row r="290" spans="1:12" ht="12.7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"/>
    </row>
    <row r="291" spans="1:12" ht="12.7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1:12" ht="12.7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"/>
    </row>
    <row r="293" spans="1:12" ht="12.7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"/>
    </row>
    <row r="294" spans="1:12" ht="12.7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"/>
    </row>
    <row r="295" spans="1:12" ht="12.7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"/>
    </row>
    <row r="296" spans="1:12" ht="12.7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"/>
    </row>
    <row r="297" spans="1:12" ht="12.7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"/>
    </row>
    <row r="298" spans="1:12" ht="12.7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"/>
    </row>
    <row r="299" spans="1:12" ht="12.7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"/>
    </row>
    <row r="300" spans="1:12" ht="12.7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"/>
    </row>
    <row r="301" spans="1:12" ht="12.7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"/>
    </row>
    <row r="302" spans="1:12" ht="12.7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"/>
    </row>
    <row r="303" spans="1:12" ht="12.7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"/>
    </row>
    <row r="304" spans="1:12" ht="12.7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"/>
    </row>
    <row r="305" spans="1:12" ht="12.7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"/>
    </row>
    <row r="306" spans="1:12" ht="12.7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"/>
    </row>
    <row r="307" spans="1:12" ht="12.7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"/>
    </row>
    <row r="308" spans="1:12" ht="12.7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"/>
    </row>
    <row r="309" spans="1:12" ht="12.7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"/>
    </row>
    <row r="310" spans="1:12" ht="12.7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"/>
    </row>
    <row r="311" spans="1:12" ht="12.7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"/>
    </row>
    <row r="312" spans="1:12" ht="12.7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"/>
    </row>
    <row r="313" spans="1:12" ht="12.7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"/>
    </row>
    <row r="314" spans="1:12" ht="12.7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"/>
    </row>
    <row r="315" spans="1:12" ht="12.7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"/>
    </row>
    <row r="316" spans="1:12" ht="12.7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"/>
    </row>
    <row r="317" spans="1:12" ht="12.7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"/>
    </row>
    <row r="318" spans="1:12" ht="12.7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"/>
    </row>
    <row r="319" spans="1:12" ht="12.7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"/>
    </row>
    <row r="320" spans="1:12" ht="12.75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"/>
    </row>
    <row r="321" spans="1:12" ht="12.75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"/>
    </row>
    <row r="322" spans="1:12" ht="12.75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"/>
    </row>
    <row r="323" spans="1:12" ht="12.75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"/>
    </row>
    <row r="324" spans="1:12" ht="12.75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"/>
    </row>
    <row r="325" spans="1:12" ht="12.75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"/>
    </row>
    <row r="326" spans="1:12" ht="12.75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"/>
    </row>
    <row r="327" spans="1:12" ht="12.75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"/>
    </row>
    <row r="328" spans="1:12" ht="12.75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"/>
    </row>
    <row r="329" spans="1:12" ht="12.75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"/>
    </row>
    <row r="330" spans="1:12" ht="12.75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"/>
    </row>
    <row r="331" spans="1:12" ht="12.75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"/>
    </row>
    <row r="332" spans="1:12" ht="12.75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"/>
    </row>
    <row r="333" spans="1:12" ht="12.75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"/>
    </row>
    <row r="334" spans="1:12" ht="12.75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"/>
    </row>
    <row r="335" spans="1:12" ht="12.75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"/>
    </row>
    <row r="336" spans="1:12" ht="12.75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"/>
    </row>
    <row r="337" spans="1:12" ht="12.75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"/>
    </row>
    <row r="338" spans="1:12" ht="12.75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"/>
    </row>
    <row r="339" spans="1:12" ht="12.75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"/>
    </row>
    <row r="340" spans="1:12" ht="12.75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"/>
    </row>
    <row r="341" spans="1:12" ht="12.75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"/>
    </row>
    <row r="342" spans="1:12" ht="12.75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"/>
    </row>
    <row r="343" spans="1:12" ht="12.75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"/>
    </row>
    <row r="344" spans="1:12" ht="12.75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"/>
    </row>
    <row r="345" spans="1:12" ht="12.75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"/>
    </row>
    <row r="346" spans="1:12" ht="12.75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"/>
    </row>
    <row r="347" spans="1:12" ht="12.75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"/>
    </row>
    <row r="348" spans="1:12" ht="12.75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"/>
    </row>
    <row r="349" spans="1:12" ht="12.75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"/>
    </row>
    <row r="350" spans="1:12" ht="12.75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"/>
    </row>
    <row r="351" spans="1:12" ht="12.75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"/>
    </row>
    <row r="352" spans="1:12" ht="12.75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"/>
    </row>
    <row r="353" spans="1:12" ht="12.75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"/>
    </row>
    <row r="354" spans="1:12" ht="12.75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"/>
    </row>
    <row r="355" spans="1:12" ht="12.75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"/>
    </row>
    <row r="356" spans="1:12" ht="12.75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"/>
    </row>
    <row r="357" spans="1:12" ht="12.75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"/>
    </row>
    <row r="358" spans="1:12" ht="12.75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"/>
    </row>
    <row r="359" spans="1:12" ht="12.75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"/>
    </row>
    <row r="360" spans="1:12" ht="12.75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"/>
    </row>
    <row r="361" spans="1:12" ht="12.75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"/>
    </row>
    <row r="362" spans="1:12" ht="12.75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"/>
    </row>
    <row r="363" spans="1:12" ht="12.75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"/>
    </row>
    <row r="364" spans="1:12" ht="12.75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"/>
    </row>
    <row r="365" spans="1:12" ht="12.75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"/>
    </row>
    <row r="366" spans="1:12" ht="12.75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"/>
    </row>
    <row r="367" spans="1:12" ht="12.75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"/>
    </row>
    <row r="368" spans="1:12" ht="12.75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"/>
    </row>
    <row r="369" spans="1:12" ht="12.75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"/>
    </row>
    <row r="370" spans="1:12" ht="12.75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"/>
    </row>
    <row r="371" spans="1:12" ht="12.75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"/>
    </row>
    <row r="372" spans="1:12" ht="12.75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"/>
    </row>
    <row r="373" spans="1:12" ht="12.75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"/>
    </row>
    <row r="374" spans="1:12" ht="12.75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"/>
    </row>
    <row r="375" spans="1:12" ht="12.75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"/>
    </row>
    <row r="376" spans="1:12" ht="12.75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"/>
    </row>
    <row r="377" spans="1:12" ht="12.75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"/>
    </row>
    <row r="378" spans="1:12" ht="12.75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"/>
    </row>
    <row r="379" spans="1:12" ht="12.75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"/>
    </row>
    <row r="380" spans="1:12" ht="12.75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"/>
    </row>
    <row r="381" spans="1:12" ht="12.75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"/>
    </row>
    <row r="382" spans="1:12" ht="12.75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"/>
    </row>
    <row r="383" spans="1:12" ht="12.75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"/>
    </row>
    <row r="384" spans="1:12" ht="12.75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"/>
    </row>
    <row r="385" spans="1:12" ht="12.75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"/>
    </row>
    <row r="386" spans="1:12" ht="12.75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"/>
    </row>
    <row r="387" spans="1:12" ht="12.75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"/>
    </row>
    <row r="388" spans="1:12" ht="12.75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"/>
    </row>
    <row r="389" spans="1:12" ht="12.75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"/>
    </row>
    <row r="390" spans="1:12" ht="12.75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"/>
    </row>
    <row r="391" spans="1:12" ht="12.75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"/>
    </row>
    <row r="392" spans="1:12" ht="12.75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"/>
    </row>
    <row r="393" spans="1:12" ht="12.75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"/>
    </row>
    <row r="394" spans="1:12" ht="12.75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"/>
    </row>
    <row r="395" spans="1:12" ht="12.75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"/>
    </row>
    <row r="396" spans="1:12" ht="12.75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"/>
    </row>
    <row r="397" spans="1:12" ht="12.75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"/>
    </row>
    <row r="398" spans="1:12" ht="12.75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"/>
    </row>
    <row r="399" spans="1:12" ht="12.75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"/>
    </row>
    <row r="400" spans="1:12" ht="12.75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"/>
    </row>
    <row r="401" spans="1:12" ht="12.75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"/>
    </row>
    <row r="402" spans="1:12" ht="12.75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"/>
    </row>
    <row r="403" spans="1:12" ht="12.75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"/>
    </row>
    <row r="404" spans="1:12" ht="12.75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"/>
    </row>
    <row r="405" spans="1:12" ht="12.75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"/>
    </row>
    <row r="406" spans="1:12" ht="12.75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"/>
    </row>
    <row r="407" spans="1:12" ht="12.75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"/>
    </row>
    <row r="408" spans="1:12" ht="12.75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"/>
    </row>
    <row r="409" spans="1:12" ht="12.75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"/>
    </row>
    <row r="410" spans="1:12" ht="12.75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"/>
    </row>
    <row r="411" spans="1:12" ht="12.75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"/>
    </row>
    <row r="412" spans="1:12" ht="12.75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"/>
    </row>
    <row r="413" spans="1:12" ht="12.75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"/>
    </row>
    <row r="414" spans="1:12" ht="12.75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"/>
    </row>
    <row r="415" spans="1:12" ht="12.75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"/>
    </row>
    <row r="416" spans="1:12" ht="12.75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"/>
    </row>
    <row r="417" spans="1:12" ht="12.75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"/>
    </row>
    <row r="418" spans="1:12" ht="12.75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"/>
    </row>
    <row r="419" spans="1:12" ht="12.75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"/>
    </row>
    <row r="420" spans="1:12" ht="12.75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"/>
    </row>
    <row r="421" spans="1:12" ht="12.75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"/>
    </row>
    <row r="422" spans="1:12" ht="12.75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"/>
    </row>
    <row r="423" spans="1:12" ht="12.75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"/>
    </row>
    <row r="424" spans="1:12" ht="12.75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"/>
    </row>
    <row r="425" spans="1:12" ht="12.75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"/>
    </row>
    <row r="426" spans="1:12" ht="12.75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"/>
    </row>
    <row r="427" spans="1:12" ht="12.75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"/>
    </row>
    <row r="428" spans="1:12" ht="12.75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"/>
    </row>
    <row r="429" spans="1:12" ht="12.75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"/>
    </row>
    <row r="430" spans="1:12" ht="12.75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"/>
    </row>
    <row r="431" spans="1:12" ht="12.75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"/>
    </row>
    <row r="432" spans="1:12" ht="12.75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"/>
    </row>
    <row r="433" spans="1:12" ht="12.75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"/>
    </row>
    <row r="434" spans="1:12" ht="12.75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"/>
    </row>
    <row r="435" spans="1:12" ht="12.75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"/>
    </row>
    <row r="436" spans="1:12" ht="12.75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"/>
    </row>
    <row r="437" spans="1:12" ht="12.75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"/>
    </row>
    <row r="438" spans="1:12" ht="12.75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"/>
    </row>
    <row r="439" spans="1:12" ht="12.75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"/>
    </row>
    <row r="440" spans="1:12" ht="12.75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"/>
    </row>
    <row r="441" spans="1:12" ht="12.75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"/>
    </row>
    <row r="442" spans="1:12" ht="12.75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"/>
    </row>
    <row r="443" spans="1:12" ht="12.75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"/>
    </row>
    <row r="444" spans="1:12" ht="12.75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"/>
    </row>
    <row r="445" spans="1:12" ht="12.75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"/>
    </row>
    <row r="446" spans="1:12" ht="12.75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"/>
    </row>
    <row r="447" spans="1:12" ht="12.75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"/>
    </row>
    <row r="448" spans="1:12" ht="12.75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"/>
    </row>
    <row r="449" spans="1:12" ht="12.75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"/>
    </row>
    <row r="450" spans="1:12" ht="12.75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"/>
    </row>
    <row r="451" spans="1:12" ht="12.75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"/>
    </row>
    <row r="452" spans="1:12" ht="12.75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"/>
    </row>
    <row r="453" spans="1:12" ht="12.75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"/>
    </row>
    <row r="454" spans="1:12" ht="12.75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"/>
    </row>
    <row r="455" spans="1:12" ht="12.75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"/>
    </row>
    <row r="456" spans="1:12" ht="12.75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"/>
    </row>
    <row r="457" spans="1:12" ht="12.75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"/>
    </row>
    <row r="458" spans="1:12" ht="12.75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"/>
    </row>
    <row r="459" spans="1:12" ht="12.75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"/>
    </row>
    <row r="460" spans="1:12" ht="12.75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"/>
    </row>
    <row r="461" spans="1:12" ht="12.75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"/>
    </row>
    <row r="462" spans="1:12" ht="12.75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"/>
    </row>
    <row r="463" spans="1:12" ht="12.75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"/>
    </row>
    <row r="464" spans="1:12" ht="12.75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"/>
    </row>
    <row r="465" spans="1:12" ht="12.75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"/>
    </row>
    <row r="466" spans="1:12" ht="12.75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"/>
    </row>
    <row r="467" spans="1:12" ht="12.75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"/>
    </row>
    <row r="468" spans="1:12" ht="12.75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"/>
    </row>
    <row r="469" spans="1:12" ht="12.75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"/>
    </row>
    <row r="470" spans="1:12" ht="12.75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"/>
    </row>
    <row r="471" spans="1:12" ht="12.75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"/>
    </row>
    <row r="472" spans="1:12" ht="12.75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"/>
    </row>
    <row r="473" spans="1:12" ht="12.75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"/>
    </row>
    <row r="474" spans="1:12" ht="12.75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"/>
    </row>
    <row r="475" spans="1:12" ht="12.75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"/>
    </row>
    <row r="476" spans="1:12" ht="12.75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"/>
    </row>
    <row r="477" spans="1:12" ht="12.75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"/>
    </row>
    <row r="478" spans="1:12" ht="12.75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"/>
    </row>
    <row r="479" spans="1:12" ht="12.75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"/>
    </row>
    <row r="480" spans="1:12" ht="12.75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"/>
    </row>
    <row r="481" spans="1:12" ht="12.75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"/>
    </row>
    <row r="482" spans="1:12" ht="12.75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"/>
    </row>
    <row r="483" spans="1:12" ht="12.75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"/>
    </row>
    <row r="484" spans="1:12" ht="12.75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"/>
    </row>
    <row r="485" spans="1:12" ht="12.75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"/>
    </row>
    <row r="486" spans="1:12" ht="12.75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"/>
    </row>
    <row r="487" spans="1:12" ht="12.75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"/>
    </row>
    <row r="488" spans="1:12" ht="12.75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"/>
    </row>
    <row r="489" spans="1:12" ht="12.75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"/>
    </row>
    <row r="490" spans="1:12" ht="12.75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"/>
    </row>
    <row r="491" spans="1:12" ht="12.75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"/>
    </row>
    <row r="492" spans="1:12" ht="12.75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"/>
    </row>
    <row r="493" spans="1:12" ht="12.75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"/>
    </row>
    <row r="494" spans="1:12" ht="12.75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"/>
    </row>
    <row r="495" spans="1:12" ht="12.75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"/>
    </row>
    <row r="496" spans="1:12" ht="12.75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"/>
    </row>
    <row r="497" spans="1:12" ht="12.75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"/>
    </row>
    <row r="498" spans="1:12" ht="12.75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"/>
    </row>
    <row r="499" spans="1:12" ht="12.75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"/>
    </row>
    <row r="500" spans="1:12" ht="12.75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"/>
    </row>
    <row r="501" spans="1:12" ht="12.75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"/>
    </row>
    <row r="502" spans="1:12" ht="12.75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"/>
    </row>
    <row r="503" spans="1:12" ht="12.75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"/>
    </row>
    <row r="504" spans="1:12" ht="12.75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"/>
    </row>
    <row r="505" spans="1:12" ht="12.75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"/>
    </row>
    <row r="506" spans="1:12" ht="12.75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"/>
    </row>
    <row r="507" spans="1:12" ht="12.75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"/>
    </row>
    <row r="508" spans="1:12" ht="12.75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"/>
    </row>
    <row r="509" spans="1:12" ht="12.75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"/>
    </row>
    <row r="510" spans="1:12" ht="12.75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"/>
    </row>
    <row r="511" spans="1:12" ht="12.75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"/>
    </row>
    <row r="512" spans="1:12" ht="12.75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"/>
    </row>
    <row r="513" spans="1:12" ht="12.75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"/>
    </row>
    <row r="514" spans="1:12" ht="12.75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"/>
    </row>
    <row r="515" spans="1:12" ht="12.75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"/>
    </row>
    <row r="516" spans="1:12" ht="12.75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"/>
    </row>
    <row r="517" spans="1:12" ht="12.75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"/>
    </row>
    <row r="518" spans="1:12" ht="12.75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"/>
    </row>
    <row r="519" spans="1:12" ht="12.75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"/>
    </row>
    <row r="520" spans="1:12" ht="12.75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"/>
    </row>
    <row r="521" spans="1:12" ht="12.75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"/>
    </row>
    <row r="522" spans="1:12" ht="12.75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"/>
    </row>
    <row r="523" spans="1:12" ht="12.75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"/>
    </row>
    <row r="524" spans="1:12" ht="12.75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"/>
    </row>
    <row r="525" spans="1:12" ht="12.75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"/>
    </row>
    <row r="526" spans="1:12" ht="12.75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"/>
    </row>
    <row r="527" spans="1:12" ht="12.75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"/>
    </row>
    <row r="528" spans="1:12" ht="12.75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"/>
    </row>
    <row r="529" spans="1:12" ht="12.75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"/>
    </row>
    <row r="530" spans="1:12" ht="12.75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"/>
    </row>
    <row r="531" spans="1:12" ht="12.75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"/>
    </row>
    <row r="532" spans="1:12" ht="12.75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"/>
    </row>
    <row r="533" spans="1:12" ht="12.75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"/>
    </row>
    <row r="534" spans="1:12" ht="12.75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"/>
    </row>
    <row r="535" spans="1:12" ht="12.75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"/>
    </row>
    <row r="536" spans="1:12" ht="12.75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"/>
    </row>
    <row r="537" spans="1:12" ht="12.75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"/>
    </row>
    <row r="538" spans="1:12" ht="12.75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"/>
    </row>
    <row r="539" spans="1:12" ht="12.75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"/>
    </row>
    <row r="540" spans="1:12" ht="12.75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"/>
    </row>
    <row r="541" spans="1:12" ht="12.75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"/>
    </row>
    <row r="542" spans="1:12" ht="12.75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"/>
    </row>
    <row r="543" spans="1:12" ht="12.75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"/>
    </row>
    <row r="544" spans="1:12" ht="12.75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"/>
    </row>
    <row r="545" spans="1:12" ht="12.75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"/>
    </row>
    <row r="546" spans="1:12" ht="12.75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"/>
    </row>
    <row r="547" spans="1:12" ht="12.75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"/>
    </row>
    <row r="548" spans="1:12" ht="12.75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"/>
    </row>
    <row r="549" spans="1:12" ht="12.75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"/>
    </row>
    <row r="550" spans="1:12" ht="12.75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"/>
    </row>
    <row r="551" spans="1:12" ht="12.75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"/>
    </row>
    <row r="552" spans="1:12" ht="12.75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"/>
    </row>
    <row r="553" spans="1:12" ht="12.75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"/>
    </row>
    <row r="554" spans="1:12" ht="12.75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"/>
    </row>
    <row r="555" spans="1:12" ht="12.75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"/>
    </row>
    <row r="556" spans="1:12" ht="12.75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"/>
    </row>
    <row r="557" spans="1:12" ht="12.75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"/>
    </row>
    <row r="558" spans="1:12" ht="12.75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"/>
    </row>
    <row r="559" spans="1:12" ht="12.75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"/>
    </row>
    <row r="560" spans="1:12" ht="12.75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"/>
    </row>
    <row r="561" spans="1:12" ht="12.75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"/>
    </row>
    <row r="562" spans="1:12" ht="12.75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"/>
    </row>
    <row r="563" spans="1:12" ht="12.75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"/>
    </row>
    <row r="564" spans="1:12" ht="12.75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"/>
    </row>
    <row r="565" spans="1:12" ht="12.75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"/>
    </row>
    <row r="566" spans="1:12" ht="12.75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"/>
    </row>
    <row r="567" spans="1:12" ht="12.75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"/>
    </row>
    <row r="568" spans="1:12" ht="12.75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"/>
    </row>
    <row r="569" spans="1:12" ht="12.75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"/>
    </row>
    <row r="570" spans="1:12" ht="12.75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"/>
    </row>
    <row r="571" spans="1:12" ht="12.75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"/>
    </row>
    <row r="572" spans="1:12" ht="12.75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"/>
    </row>
    <row r="573" spans="1:12" ht="12.75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"/>
    </row>
    <row r="574" spans="1:12" ht="12.75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"/>
    </row>
    <row r="575" spans="1:12" ht="12.75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"/>
    </row>
    <row r="576" spans="1:12" ht="12.75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"/>
    </row>
    <row r="577" spans="1:12" ht="12.75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"/>
    </row>
    <row r="578" spans="1:12" ht="12.75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"/>
    </row>
    <row r="579" spans="1:12" ht="12.75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"/>
    </row>
    <row r="580" spans="1:12" ht="12.75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"/>
    </row>
    <row r="581" spans="1:12" ht="12.75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"/>
    </row>
    <row r="582" spans="1:12" ht="12.75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"/>
    </row>
    <row r="583" spans="1:12" ht="12.75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"/>
    </row>
    <row r="584" spans="1:12" ht="12.75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"/>
    </row>
    <row r="585" spans="1:12" ht="12.75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"/>
    </row>
    <row r="586" spans="1:12" ht="12.75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"/>
    </row>
    <row r="587" spans="1:12" ht="12.75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"/>
    </row>
    <row r="588" spans="1:12" ht="12.75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"/>
    </row>
    <row r="589" spans="1:12" ht="12.75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"/>
    </row>
    <row r="590" spans="1:12" ht="12.75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"/>
    </row>
    <row r="591" spans="1:12" ht="12.75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"/>
    </row>
    <row r="592" spans="1:12" ht="12.75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"/>
    </row>
    <row r="593" spans="1:12" ht="12.75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"/>
    </row>
    <row r="594" spans="1:12" ht="12.75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"/>
    </row>
    <row r="595" spans="1:12" ht="12.75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"/>
    </row>
    <row r="596" spans="1:12" ht="12.75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"/>
    </row>
    <row r="597" spans="1:12" ht="12.75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"/>
    </row>
    <row r="598" spans="1:12" ht="12.75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"/>
    </row>
    <row r="599" spans="1:12" ht="12.75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"/>
    </row>
    <row r="600" spans="1:12" ht="12.75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"/>
    </row>
    <row r="601" spans="1:12" ht="12.75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"/>
    </row>
    <row r="602" spans="1:12" ht="12.75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"/>
    </row>
    <row r="603" spans="1:12" ht="12.75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"/>
    </row>
    <row r="604" spans="1:12" ht="12.75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"/>
    </row>
    <row r="605" spans="1:12" ht="12.75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"/>
    </row>
    <row r="606" spans="1:12" ht="12.75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"/>
    </row>
    <row r="607" spans="1:12" ht="12.75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"/>
    </row>
    <row r="608" spans="1:12" ht="12.75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"/>
    </row>
    <row r="609" spans="1:12" ht="12.75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"/>
    </row>
    <row r="610" spans="1:12" ht="12.75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"/>
    </row>
    <row r="611" spans="1:12" ht="12.75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"/>
    </row>
    <row r="612" spans="1:12" ht="12.75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"/>
    </row>
    <row r="613" spans="1:12" ht="12.75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"/>
    </row>
    <row r="614" spans="1:12" ht="12.75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"/>
    </row>
    <row r="615" spans="1:12" ht="12.75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"/>
    </row>
    <row r="616" spans="1:12" ht="12.75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"/>
    </row>
    <row r="617" spans="1:12" ht="12.75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"/>
    </row>
    <row r="618" spans="1:12" ht="12.75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"/>
    </row>
    <row r="619" spans="1:12" ht="12.75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"/>
    </row>
    <row r="620" spans="1:12" ht="12.75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"/>
    </row>
    <row r="621" spans="1:12" ht="12.75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"/>
    </row>
    <row r="622" spans="1:12" ht="12.75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"/>
    </row>
    <row r="623" spans="1:12" ht="12.75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"/>
    </row>
    <row r="624" spans="1:12" ht="12.75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"/>
    </row>
    <row r="625" spans="1:12" ht="12.75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"/>
    </row>
    <row r="626" spans="1:12" ht="12.75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"/>
    </row>
    <row r="627" spans="1:12" ht="12.75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"/>
    </row>
    <row r="628" spans="1:12" ht="12.75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"/>
    </row>
    <row r="629" spans="1:12" ht="12.75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"/>
    </row>
    <row r="630" spans="1:12" ht="12.75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"/>
    </row>
    <row r="631" spans="1:12" ht="12.75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"/>
    </row>
    <row r="632" spans="1:12" ht="12.75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"/>
    </row>
    <row r="633" spans="1:12" ht="12.75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"/>
    </row>
    <row r="634" spans="1:12" ht="12.75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"/>
    </row>
    <row r="635" spans="1:12" ht="12.75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"/>
    </row>
    <row r="636" spans="1:12" ht="12.75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"/>
    </row>
    <row r="637" spans="1:12" ht="12.75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"/>
    </row>
    <row r="638" spans="1:12" ht="12.75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"/>
    </row>
    <row r="639" spans="1:12" ht="12.75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"/>
    </row>
    <row r="640" spans="1:12" ht="12.75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"/>
    </row>
    <row r="641" spans="1:12" ht="12.75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"/>
    </row>
    <row r="642" spans="1:12" ht="12.75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"/>
    </row>
    <row r="643" spans="1:12" ht="12.75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"/>
    </row>
    <row r="644" spans="1:12" ht="12.75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"/>
    </row>
    <row r="645" spans="1:12" ht="12.75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"/>
    </row>
    <row r="646" spans="1:12" ht="12.75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"/>
    </row>
    <row r="647" spans="1:12" ht="12.75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"/>
    </row>
    <row r="648" spans="1:12" ht="12.75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"/>
    </row>
    <row r="649" spans="1:12" ht="12.75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"/>
    </row>
    <row r="650" spans="1:12" ht="12.75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"/>
    </row>
    <row r="651" spans="1:12" ht="12.75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"/>
    </row>
    <row r="652" spans="1:12" ht="12.75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"/>
    </row>
    <row r="653" spans="1:12" ht="12.75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"/>
    </row>
    <row r="654" spans="1:12" ht="12.75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"/>
    </row>
    <row r="655" spans="1:12" ht="12.75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"/>
    </row>
    <row r="656" spans="1:12" ht="12.75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"/>
    </row>
    <row r="657" spans="1:12" ht="12.75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"/>
    </row>
    <row r="658" spans="1:12" ht="12.75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"/>
    </row>
    <row r="659" spans="1:12" ht="12.75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"/>
    </row>
    <row r="660" spans="1:12" ht="12.75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"/>
    </row>
    <row r="661" spans="1:12" ht="12.75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"/>
    </row>
    <row r="662" spans="1:12" ht="12.75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"/>
    </row>
    <row r="663" spans="1:12" ht="12.75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"/>
    </row>
    <row r="664" spans="1:12" ht="12.75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"/>
    </row>
    <row r="665" spans="1:12" ht="12.75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"/>
    </row>
    <row r="666" spans="1:12" ht="12.75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"/>
    </row>
    <row r="667" spans="1:12" ht="12.75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"/>
    </row>
    <row r="668" spans="1:12" ht="12.75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"/>
    </row>
    <row r="669" spans="1:12" ht="12.75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"/>
    </row>
    <row r="670" spans="1:12" ht="12.75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"/>
    </row>
    <row r="671" spans="1:12" ht="12.75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"/>
    </row>
    <row r="672" spans="1:12" ht="12.75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"/>
    </row>
    <row r="673" spans="1:12" ht="12.75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"/>
    </row>
    <row r="674" spans="1:12" ht="12.75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"/>
    </row>
    <row r="675" spans="1:12" ht="12.75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"/>
    </row>
    <row r="676" spans="1:12" ht="12.75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"/>
    </row>
    <row r="677" spans="1:12" ht="12.75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"/>
    </row>
    <row r="678" spans="1:12" ht="12.75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"/>
    </row>
    <row r="679" spans="1:12" ht="12.75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"/>
    </row>
    <row r="680" spans="1:12" ht="12.75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"/>
    </row>
    <row r="681" spans="1:12" ht="12.75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"/>
    </row>
    <row r="682" spans="1:12" ht="12.75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"/>
    </row>
    <row r="683" spans="1:12" ht="12.75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"/>
    </row>
    <row r="684" spans="1:12" ht="12.75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"/>
    </row>
    <row r="685" spans="1:12" ht="12.75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"/>
    </row>
    <row r="686" spans="1:12" ht="12.75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"/>
    </row>
    <row r="687" spans="1:12" ht="12.75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"/>
    </row>
    <row r="688" spans="1:12" ht="12.75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"/>
    </row>
    <row r="689" spans="1:12" ht="12.75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"/>
    </row>
    <row r="690" spans="1:12" ht="12.75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"/>
    </row>
    <row r="691" spans="1:12" ht="12.75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"/>
    </row>
    <row r="692" spans="1:12" ht="12.75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"/>
    </row>
    <row r="693" spans="1:12" ht="12.75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"/>
    </row>
    <row r="694" spans="1:12" ht="12.75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"/>
    </row>
    <row r="695" spans="1:12" ht="12.75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"/>
    </row>
    <row r="696" spans="1:12" ht="12.75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"/>
    </row>
    <row r="697" spans="1:12" ht="12.75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"/>
    </row>
    <row r="698" spans="1:12" ht="12.75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"/>
    </row>
    <row r="699" spans="1:12" ht="12.75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"/>
    </row>
    <row r="700" spans="1:12" ht="12.75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"/>
    </row>
    <row r="701" spans="1:12" ht="12.75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"/>
    </row>
    <row r="702" spans="1:12" ht="12.75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"/>
    </row>
    <row r="703" spans="1:12" ht="12.75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"/>
    </row>
    <row r="704" spans="1:12" ht="12.75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"/>
    </row>
    <row r="705" spans="1:12" ht="12.75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"/>
    </row>
    <row r="706" spans="1:12" ht="12.75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"/>
    </row>
    <row r="707" spans="1:12" ht="12.75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"/>
    </row>
    <row r="708" spans="1:12" ht="12.75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"/>
    </row>
    <row r="709" spans="1:12" ht="12.75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"/>
    </row>
    <row r="710" spans="1:12" ht="12.75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"/>
    </row>
    <row r="711" spans="1:12" ht="12.75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"/>
    </row>
    <row r="712" spans="1:12" ht="12.75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"/>
    </row>
    <row r="713" spans="1:12" ht="12.75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"/>
    </row>
    <row r="714" spans="1:12" ht="12.75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"/>
    </row>
    <row r="715" spans="1:12" ht="12.75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"/>
    </row>
    <row r="716" spans="1:12" ht="12.75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"/>
    </row>
    <row r="717" spans="1:12" ht="12.75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"/>
    </row>
    <row r="718" spans="1:12" ht="12.75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"/>
    </row>
    <row r="719" spans="1:12" ht="12.75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"/>
    </row>
    <row r="720" spans="1:12" ht="12.75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"/>
    </row>
    <row r="721" spans="1:12" ht="12.75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"/>
    </row>
    <row r="722" spans="1:12" ht="12.75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"/>
    </row>
    <row r="723" spans="1:12" ht="12.75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"/>
    </row>
    <row r="724" spans="1:12" ht="12.75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"/>
    </row>
    <row r="725" spans="1:12" ht="12.75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"/>
    </row>
    <row r="726" spans="1:12" ht="12.75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"/>
    </row>
    <row r="727" spans="1:12" ht="12.75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"/>
    </row>
    <row r="728" spans="1:12" ht="12.75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"/>
    </row>
    <row r="729" spans="1:12" ht="12.75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"/>
    </row>
    <row r="730" spans="1:12" ht="12.75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"/>
    </row>
    <row r="731" spans="1:12" ht="12.75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"/>
    </row>
    <row r="732" spans="1:12" ht="12.75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"/>
    </row>
    <row r="733" spans="1:12" ht="12.75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"/>
    </row>
    <row r="734" spans="1:12" ht="12.75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"/>
    </row>
    <row r="735" spans="1:12" ht="12.75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"/>
    </row>
    <row r="736" spans="1:12" ht="12.75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"/>
    </row>
    <row r="737" spans="1:12" ht="12.75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"/>
    </row>
    <row r="738" spans="1:12" ht="12.75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"/>
    </row>
    <row r="739" spans="1:12" ht="12.75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"/>
    </row>
    <row r="740" spans="1:12" ht="12.75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"/>
    </row>
    <row r="741" spans="1:12" ht="12.75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"/>
    </row>
    <row r="742" spans="1:12" ht="12.75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"/>
    </row>
    <row r="743" spans="1:12" ht="12.75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"/>
    </row>
    <row r="744" spans="1:12" ht="12.75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"/>
    </row>
    <row r="745" spans="1:12" ht="12.75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"/>
    </row>
    <row r="746" spans="1:12" ht="12.75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"/>
    </row>
    <row r="747" spans="1:12" ht="12.75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"/>
    </row>
    <row r="748" spans="1:12" ht="12.75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"/>
    </row>
    <row r="749" spans="1:12" ht="12.75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"/>
    </row>
    <row r="750" spans="1:12" ht="12.75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"/>
    </row>
    <row r="751" spans="1:12" ht="12.75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"/>
    </row>
    <row r="752" spans="1:12" ht="12.75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"/>
    </row>
    <row r="753" spans="1:12" ht="12.75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"/>
    </row>
    <row r="754" spans="1:12" ht="12.75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"/>
    </row>
    <row r="755" spans="1:12" ht="12.75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"/>
    </row>
    <row r="756" spans="1:12" ht="12.75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"/>
    </row>
    <row r="757" spans="1:12" ht="12.75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"/>
    </row>
    <row r="758" spans="1:12" ht="12.75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"/>
    </row>
    <row r="759" spans="1:12" ht="12.75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"/>
    </row>
    <row r="760" spans="1:12" ht="12.75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"/>
    </row>
    <row r="761" spans="1:12" ht="12.75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"/>
    </row>
    <row r="762" spans="1:12" ht="12.75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"/>
    </row>
    <row r="763" spans="1:12" ht="12.75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"/>
    </row>
    <row r="764" spans="1:12" ht="12.75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"/>
    </row>
    <row r="765" spans="1:12" ht="12.75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"/>
    </row>
    <row r="766" spans="1:12" ht="12.75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"/>
    </row>
    <row r="767" spans="1:12" ht="12.75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"/>
    </row>
    <row r="768" spans="1:12" ht="12.75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"/>
    </row>
    <row r="769" spans="1:12" ht="12.75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"/>
    </row>
    <row r="770" spans="1:12" ht="12.75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"/>
    </row>
    <row r="771" spans="1:12" ht="12.75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"/>
    </row>
    <row r="772" spans="1:12" ht="12.75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"/>
    </row>
    <row r="773" spans="1:12" ht="12.75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"/>
    </row>
    <row r="774" spans="1:12" ht="12.75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"/>
    </row>
    <row r="775" spans="1:12" ht="12.75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"/>
    </row>
    <row r="776" spans="1:12" ht="12.75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"/>
    </row>
    <row r="777" spans="1:12" ht="12.75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"/>
    </row>
    <row r="778" spans="1:12" ht="12.75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"/>
    </row>
    <row r="779" spans="1:12" ht="12.75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"/>
    </row>
    <row r="780" spans="1:12" ht="12.75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"/>
    </row>
    <row r="781" spans="1:12" ht="12.75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"/>
    </row>
    <row r="782" spans="1:12" ht="12.75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"/>
    </row>
    <row r="783" spans="1:12" ht="12.75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"/>
    </row>
    <row r="784" spans="1:12" ht="12.75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"/>
    </row>
    <row r="785" spans="1:12" ht="12.75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"/>
    </row>
    <row r="786" spans="1:12" ht="12.75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"/>
    </row>
    <row r="787" spans="1:12" ht="12.75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"/>
    </row>
    <row r="788" spans="1:12" ht="12.75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"/>
    </row>
    <row r="789" spans="1:12" ht="12.75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"/>
    </row>
    <row r="790" spans="1:12" ht="12.75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"/>
    </row>
    <row r="791" spans="1:12" ht="12.75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"/>
    </row>
    <row r="792" spans="1:12" ht="12.75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"/>
    </row>
    <row r="793" spans="1:12" ht="12.75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"/>
    </row>
    <row r="794" spans="1:12" ht="12.75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"/>
    </row>
    <row r="795" spans="1:12" ht="12.75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"/>
    </row>
    <row r="796" spans="1:12" ht="12.75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"/>
    </row>
    <row r="797" spans="1:12" ht="12.75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"/>
    </row>
    <row r="798" spans="1:12" ht="12.75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"/>
    </row>
    <row r="799" spans="1:12" ht="12.75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"/>
    </row>
    <row r="800" spans="1:12" ht="12.75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"/>
    </row>
    <row r="801" spans="1:12" ht="12.75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"/>
    </row>
    <row r="802" spans="1:12" ht="12.75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"/>
    </row>
    <row r="803" spans="1:12" ht="12.75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"/>
    </row>
    <row r="804" spans="1:12" ht="12.75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"/>
    </row>
    <row r="805" spans="1:12" ht="12.75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"/>
    </row>
    <row r="806" spans="1:12" ht="12.75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"/>
    </row>
    <row r="807" spans="1:12" ht="12.75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"/>
    </row>
    <row r="808" spans="1:12" ht="12.75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"/>
    </row>
    <row r="809" spans="1:12" ht="12.75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"/>
    </row>
    <row r="810" spans="1:12" ht="12.75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"/>
    </row>
    <row r="811" spans="1:12" ht="12.75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"/>
    </row>
    <row r="812" spans="1:12" ht="12.75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"/>
    </row>
    <row r="813" spans="1:12" ht="12.75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"/>
    </row>
    <row r="814" spans="1:12" ht="12.75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"/>
    </row>
    <row r="815" spans="1:12" ht="12.75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"/>
    </row>
    <row r="816" spans="1:12" ht="12.75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"/>
    </row>
    <row r="817" spans="1:12" ht="12.75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"/>
    </row>
    <row r="818" spans="1:12" ht="12.75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"/>
    </row>
    <row r="819" spans="1:12" ht="12.75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"/>
    </row>
    <row r="820" spans="1:12" ht="12.75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"/>
    </row>
    <row r="821" spans="1:12" ht="12.75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"/>
    </row>
    <row r="822" spans="1:12" ht="12.75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"/>
    </row>
    <row r="823" spans="1:12" ht="12.75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"/>
    </row>
    <row r="824" spans="1:12" ht="12.75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"/>
    </row>
    <row r="825" spans="1:12" ht="12.75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"/>
    </row>
    <row r="826" spans="1:12" ht="12.75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"/>
    </row>
    <row r="827" spans="1:12" ht="12.75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"/>
    </row>
    <row r="828" spans="1:12" ht="12.75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"/>
    </row>
    <row r="829" spans="1:12" ht="12.75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"/>
    </row>
    <row r="830" spans="1:12" ht="12.75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"/>
    </row>
    <row r="831" spans="1:12" ht="12.75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"/>
    </row>
    <row r="832" spans="1:12" ht="12.75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"/>
    </row>
    <row r="833" spans="1:12" ht="12.75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"/>
    </row>
    <row r="834" spans="1:12" ht="12.75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"/>
    </row>
    <row r="835" spans="1:12" ht="12.75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"/>
    </row>
    <row r="836" spans="1:12" ht="12.75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"/>
    </row>
    <row r="837" spans="1:12" ht="12.75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"/>
    </row>
    <row r="838" spans="1:12" ht="12.75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"/>
    </row>
    <row r="839" spans="1:12" ht="12.75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"/>
    </row>
    <row r="840" spans="1:12" ht="12.75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"/>
    </row>
    <row r="841" spans="1:12" ht="12.75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"/>
    </row>
    <row r="842" spans="1:12" ht="12.75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"/>
    </row>
    <row r="843" spans="1:12" ht="12.75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"/>
    </row>
    <row r="844" spans="1:12" ht="12.75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"/>
    </row>
    <row r="845" spans="1:12" ht="12.75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"/>
    </row>
    <row r="846" spans="1:12" ht="12.75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"/>
    </row>
    <row r="847" spans="1:12" ht="12.75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"/>
    </row>
    <row r="848" spans="1:12" ht="12.75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"/>
    </row>
    <row r="849" spans="1:12" ht="12.75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"/>
    </row>
    <row r="850" spans="1:12" ht="12.75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"/>
    </row>
    <row r="851" spans="1:12" ht="12.75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"/>
    </row>
    <row r="852" spans="1:12" ht="12.75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"/>
    </row>
    <row r="853" spans="1:12" ht="12.75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"/>
    </row>
    <row r="854" spans="1:12" ht="12.75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"/>
    </row>
    <row r="855" spans="1:12" ht="12.75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"/>
    </row>
    <row r="856" spans="1:12" ht="12.75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"/>
    </row>
    <row r="857" spans="1:12" ht="12.75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"/>
    </row>
    <row r="858" spans="1:12" ht="12.75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"/>
    </row>
    <row r="859" spans="1:12" ht="12.75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"/>
    </row>
    <row r="860" spans="1:12" ht="12.75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"/>
    </row>
    <row r="861" spans="1:12" ht="12.75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"/>
    </row>
    <row r="862" spans="1:12" ht="12.75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"/>
    </row>
    <row r="863" spans="1:12" ht="12.75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"/>
    </row>
    <row r="864" spans="1:12" ht="12.75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"/>
    </row>
    <row r="865" spans="1:12" ht="12.75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"/>
    </row>
    <row r="866" spans="1:12" ht="12.75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"/>
    </row>
    <row r="867" spans="1:12" ht="12.75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"/>
    </row>
    <row r="868" spans="1:12" ht="12.75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"/>
    </row>
    <row r="869" spans="1:12" ht="12.75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"/>
    </row>
    <row r="870" spans="1:12" ht="12.75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"/>
    </row>
    <row r="871" spans="1:12" ht="12.75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"/>
    </row>
    <row r="872" spans="1:12" ht="12.75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"/>
    </row>
    <row r="873" spans="1:12" ht="12.75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"/>
    </row>
    <row r="874" spans="1:12" ht="12.75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"/>
    </row>
    <row r="875" spans="1:12" ht="12.75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"/>
    </row>
    <row r="876" spans="1:12" ht="12.75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"/>
    </row>
    <row r="877" spans="1:12" ht="12.75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"/>
    </row>
    <row r="878" spans="1:12" ht="12.75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"/>
    </row>
    <row r="879" spans="1:12" ht="12.75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"/>
    </row>
    <row r="880" spans="1:12" ht="12.75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"/>
    </row>
    <row r="881" spans="1:12" ht="12.75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"/>
    </row>
    <row r="882" spans="1:12" ht="12.75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"/>
    </row>
    <row r="883" spans="1:12" ht="12.75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"/>
    </row>
    <row r="884" spans="1:12" ht="12.75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"/>
    </row>
    <row r="885" spans="1:12" ht="12.75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"/>
    </row>
    <row r="886" spans="1:12" ht="12.75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"/>
    </row>
    <row r="887" spans="1:12" ht="12.75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"/>
    </row>
    <row r="888" spans="1:12" ht="12.75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"/>
    </row>
    <row r="889" spans="1:12" ht="12.75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"/>
    </row>
    <row r="890" spans="1:12" ht="12.75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"/>
    </row>
    <row r="891" spans="1:12" ht="12.75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"/>
    </row>
    <row r="892" spans="1:12" ht="12.75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"/>
    </row>
    <row r="893" spans="1:12" ht="12.75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"/>
    </row>
    <row r="894" spans="1:12" ht="12.75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"/>
    </row>
    <row r="895" spans="1:12" ht="12.75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"/>
    </row>
    <row r="896" spans="1:12" ht="12.75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"/>
    </row>
    <row r="897" spans="1:12" ht="12.75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"/>
    </row>
    <row r="898" spans="1:12" ht="12.75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"/>
    </row>
    <row r="899" spans="1:12" ht="12.75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"/>
    </row>
    <row r="900" spans="1:12" ht="12.75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"/>
    </row>
    <row r="901" spans="1:12" ht="12.75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"/>
    </row>
    <row r="902" spans="1:12" ht="12.75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"/>
    </row>
    <row r="903" spans="1:12" ht="12.75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"/>
    </row>
    <row r="904" spans="1:12" ht="12.75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"/>
    </row>
    <row r="905" spans="1:12" ht="12.75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"/>
    </row>
    <row r="906" spans="1:12" ht="12.75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"/>
    </row>
    <row r="907" spans="1:12" ht="12.75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"/>
    </row>
    <row r="908" spans="1:12" ht="12.75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"/>
    </row>
    <row r="909" spans="1:12" ht="12.75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"/>
    </row>
    <row r="910" spans="1:12" ht="12.75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"/>
    </row>
    <row r="911" spans="1:12" ht="12.75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"/>
    </row>
    <row r="912" spans="1:12" ht="12.75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"/>
    </row>
    <row r="913" spans="1:12" ht="12.75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"/>
    </row>
    <row r="914" spans="1:12" ht="12.75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"/>
    </row>
    <row r="915" spans="1:12" ht="12.75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"/>
    </row>
    <row r="916" spans="1:12" ht="12.75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"/>
    </row>
    <row r="917" spans="1:12" ht="12.75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"/>
    </row>
    <row r="918" spans="1:12" ht="12.75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"/>
    </row>
    <row r="919" spans="1:12" ht="12.75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"/>
    </row>
    <row r="920" spans="1:12" ht="12.75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"/>
    </row>
    <row r="921" spans="1:12" ht="12.75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"/>
    </row>
    <row r="922" spans="1:12" ht="12.75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"/>
    </row>
    <row r="923" spans="1:12" ht="12.75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"/>
    </row>
    <row r="924" spans="1:12" ht="12.75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"/>
    </row>
    <row r="925" spans="1:12" ht="12.75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"/>
    </row>
    <row r="926" spans="1:12" ht="12.75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"/>
    </row>
    <row r="927" spans="1:12" ht="12.75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"/>
    </row>
    <row r="928" spans="1:12" ht="12.75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"/>
    </row>
    <row r="929" spans="1:12" ht="12.75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"/>
    </row>
    <row r="930" spans="1:12" ht="12.75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"/>
    </row>
    <row r="931" spans="1:12" ht="12.75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"/>
    </row>
    <row r="932" spans="1:12" ht="12.75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"/>
    </row>
    <row r="933" spans="1:12" ht="12.75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"/>
    </row>
    <row r="934" spans="1:12" ht="12.75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"/>
    </row>
    <row r="935" spans="1:12" ht="12.75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"/>
    </row>
    <row r="936" spans="1:12" ht="12.75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"/>
    </row>
    <row r="937" spans="1:12" ht="12.75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"/>
    </row>
    <row r="938" spans="1:12" ht="12.75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"/>
    </row>
    <row r="939" spans="1:12" ht="12.75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"/>
    </row>
    <row r="940" spans="1:12" ht="12.75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"/>
    </row>
    <row r="941" spans="1:12" ht="12.75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"/>
    </row>
    <row r="942" spans="1:12" ht="12.75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"/>
    </row>
    <row r="943" spans="1:12" ht="12.75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"/>
    </row>
    <row r="944" spans="1:12" ht="12.75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"/>
    </row>
    <row r="945" spans="1:12" ht="12.75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"/>
    </row>
    <row r="946" spans="1:12" ht="12.75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"/>
    </row>
    <row r="947" spans="1:12" ht="12.75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"/>
    </row>
    <row r="948" spans="1:12" ht="12.75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"/>
    </row>
    <row r="949" spans="1:12" ht="12.75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"/>
    </row>
    <row r="950" spans="1:12" ht="12.75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"/>
    </row>
    <row r="951" spans="1:12" ht="12.75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"/>
    </row>
    <row r="952" spans="1:12" ht="12.75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"/>
    </row>
    <row r="953" spans="1:12" ht="12.75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"/>
    </row>
    <row r="954" spans="1:12" ht="12.75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"/>
    </row>
    <row r="955" spans="1:12" ht="12.75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"/>
    </row>
    <row r="956" spans="1:12" ht="12.75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"/>
    </row>
    <row r="957" spans="1:12" ht="12.75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"/>
    </row>
    <row r="958" spans="1:12" ht="12.75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"/>
    </row>
    <row r="959" spans="1:12" ht="12.75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"/>
    </row>
    <row r="960" spans="1:12" ht="12.75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"/>
    </row>
    <row r="961" spans="1:12" ht="12.75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"/>
    </row>
    <row r="962" spans="1:12" ht="12.75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"/>
    </row>
    <row r="963" spans="1:12" ht="12.75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"/>
    </row>
    <row r="964" spans="1:12" ht="12.75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"/>
    </row>
    <row r="965" spans="1:12" ht="12.75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"/>
    </row>
    <row r="966" spans="1:12" ht="12.75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"/>
    </row>
    <row r="967" spans="1:12" ht="12.75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"/>
    </row>
    <row r="968" spans="1:12" ht="12.75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"/>
    </row>
    <row r="969" spans="1:12" ht="12.75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"/>
    </row>
    <row r="970" spans="1:12" ht="12.75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"/>
    </row>
    <row r="971" spans="1:12" ht="12.75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"/>
    </row>
    <row r="972" spans="1:12" ht="12.75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"/>
    </row>
    <row r="973" spans="1:12" ht="12.75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"/>
    </row>
    <row r="974" spans="1:12" ht="12.75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"/>
    </row>
    <row r="975" spans="1:12" ht="12.75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"/>
    </row>
    <row r="976" spans="1:12" ht="12.75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"/>
    </row>
    <row r="977" spans="1:12" ht="12.75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"/>
    </row>
    <row r="978" spans="1:12" ht="12.75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"/>
    </row>
    <row r="979" spans="1:12" ht="12.75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"/>
    </row>
    <row r="980" spans="1:12" ht="12.75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"/>
    </row>
    <row r="981" spans="1:12" ht="12.75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"/>
    </row>
    <row r="982" spans="1:12" ht="12.75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"/>
    </row>
    <row r="983" spans="1:12" ht="12.75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"/>
    </row>
    <row r="984" spans="1:12" ht="12.75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"/>
    </row>
    <row r="985" spans="1:12" ht="12.75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"/>
    </row>
    <row r="986" spans="1:12" ht="12.75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"/>
    </row>
    <row r="987" spans="1:12" ht="12.75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"/>
    </row>
    <row r="988" spans="1:12" ht="12.75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"/>
    </row>
    <row r="989" spans="1:12" ht="12.75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"/>
    </row>
    <row r="990" spans="1:12" ht="12.75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"/>
    </row>
    <row r="991" spans="1:12" ht="12.75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"/>
    </row>
    <row r="992" spans="1:12" ht="12.75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"/>
    </row>
    <row r="993" spans="1:12" ht="12.75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"/>
    </row>
    <row r="994" spans="1:12" ht="12.75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"/>
    </row>
    <row r="995" spans="1:12" ht="12.75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"/>
    </row>
    <row r="996" spans="1:12" ht="12.75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"/>
    </row>
    <row r="997" spans="1:12" ht="12.75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"/>
    </row>
    <row r="998" spans="1:12" ht="12.75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"/>
    </row>
    <row r="999" spans="1:12" ht="12.75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"/>
    </row>
  </sheetData>
  <customSheetViews>
    <customSheetView guid="{5C57F64D-F7EA-42EE-8302-87CFD3A619D8}" filter="1" showAutoFilter="1">
      <pageMargins left="0.7" right="0.7" top="0.75" bottom="0.75" header="0.3" footer="0.3"/>
      <autoFilter ref="A1:M999" xr:uid="{071FA591-AE02-4D6D-BEDD-B97A6085E29C}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X1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9.7109375" customWidth="1"/>
    <col min="3" max="3" width="7.42578125" customWidth="1"/>
    <col min="4" max="4" width="13.42578125" customWidth="1"/>
    <col min="6" max="6" width="7.5703125" customWidth="1"/>
    <col min="7" max="12" width="8.28515625" customWidth="1"/>
    <col min="13" max="14" width="8.85546875" customWidth="1"/>
  </cols>
  <sheetData>
    <row r="1" spans="1:24" ht="53.25" customHeight="1">
      <c r="A1" s="8" t="s">
        <v>11</v>
      </c>
      <c r="B1" s="8"/>
      <c r="C1" s="8" t="s">
        <v>39</v>
      </c>
      <c r="D1" s="8"/>
      <c r="E1" s="8"/>
      <c r="F1" s="8"/>
      <c r="G1" s="8"/>
      <c r="H1" s="8"/>
      <c r="I1" s="8"/>
      <c r="J1" s="8" t="s">
        <v>40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6" t="str">
        <f ca="1">IFERROR(__xludf.DUMMYFUNCTION("SORT(FILTER(Nimekiri,ALA=A1),13,FALSE,9,FALSE)"),"Meelis Kiisk")</f>
        <v>Meelis Kiisk</v>
      </c>
      <c r="B3" s="6" t="str">
        <f ca="1">IFERROR(__xludf.DUMMYFUNCTION("""COMPUTED_VALUE"""),"Järva")</f>
        <v>Järva</v>
      </c>
      <c r="C3" s="6" t="str">
        <f ca="1">IFERROR(__xludf.DUMMYFUNCTION("""COMPUTED_VALUE"""),"M")</f>
        <v>M</v>
      </c>
      <c r="D3" s="6" t="str">
        <f ca="1">IFERROR(__xludf.DUMMYFUNCTION("""COMPUTED_VALUE"""),"50m lamades H7")</f>
        <v>50m lamades H7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IFERROR(__xludf.DUMMYFUNCTION("""COMPUTED_VALUE"""),104.2)</f>
        <v>104.2</v>
      </c>
      <c r="H3" s="6">
        <f ca="1">IFERROR(__xludf.DUMMYFUNCTION("""COMPUTED_VALUE"""),103.6)</f>
        <v>103.6</v>
      </c>
      <c r="I3" s="6">
        <f ca="1">IFERROR(__xludf.DUMMYFUNCTION("""COMPUTED_VALUE"""),105.4)</f>
        <v>105.4</v>
      </c>
      <c r="J3" s="6"/>
      <c r="K3" s="6"/>
      <c r="L3" s="6"/>
      <c r="M3" s="6">
        <f ca="1">IFERROR(__xludf.DUMMYFUNCTION("""COMPUTED_VALUE"""),313.2)</f>
        <v>313.2</v>
      </c>
      <c r="N3" s="6">
        <f ca="1">IFERROR(__xludf.DUMMYFUNCTION("""COMPUTED_VALUE"""),313.2)</f>
        <v>313.2</v>
      </c>
    </row>
    <row r="4" spans="1:24" ht="12.75">
      <c r="A4" s="6" t="str">
        <f ca="1">IFERROR(__xludf.DUMMYFUNCTION("""COMPUTED_VALUE"""),"Edik Koppelmann")</f>
        <v>Edik Koppelmann</v>
      </c>
      <c r="B4" s="6" t="str">
        <f ca="1">IFERROR(__xludf.DUMMYFUNCTION("""COMPUTED_VALUE"""),"Tallinn")</f>
        <v>Tallinn</v>
      </c>
      <c r="C4" s="6" t="str">
        <f ca="1">IFERROR(__xludf.DUMMYFUNCTION("""COMPUTED_VALUE"""),"M")</f>
        <v>M</v>
      </c>
      <c r="D4" s="6" t="str">
        <f ca="1">IFERROR(__xludf.DUMMYFUNCTION("""COMPUTED_VALUE"""),"50m lamades H7")</f>
        <v>50m lamades H7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IFERROR(__xludf.DUMMYFUNCTION("""COMPUTED_VALUE"""),103.6)</f>
        <v>103.6</v>
      </c>
      <c r="H4" s="6">
        <f ca="1">IFERROR(__xludf.DUMMYFUNCTION("""COMPUTED_VALUE"""),105.7)</f>
        <v>105.7</v>
      </c>
      <c r="I4" s="6">
        <f ca="1">IFERROR(__xludf.DUMMYFUNCTION("""COMPUTED_VALUE"""),100.7)</f>
        <v>100.7</v>
      </c>
      <c r="J4" s="6"/>
      <c r="K4" s="6"/>
      <c r="L4" s="6"/>
      <c r="M4" s="6">
        <f ca="1">IFERROR(__xludf.DUMMYFUNCTION("""COMPUTED_VALUE"""),310)</f>
        <v>310</v>
      </c>
      <c r="N4" s="6">
        <f ca="1">IFERROR(__xludf.DUMMYFUNCTION("""COMPUTED_VALUE"""),310)</f>
        <v>310</v>
      </c>
    </row>
    <row r="5" spans="1:24" ht="12.75">
      <c r="A5" s="6" t="str">
        <f ca="1">IFERROR(__xludf.DUMMYFUNCTION("""COMPUTED_VALUE"""),"Svetlana Doledutko")</f>
        <v>Svetlana Doledutko</v>
      </c>
      <c r="B5" s="6" t="str">
        <f ca="1">IFERROR(__xludf.DUMMYFUNCTION("""COMPUTED_VALUE"""),"Tallinn")</f>
        <v>Tallinn</v>
      </c>
      <c r="C5" s="6" t="str">
        <f ca="1">IFERROR(__xludf.DUMMYFUNCTION("""COMPUTED_VALUE"""),"N")</f>
        <v>N</v>
      </c>
      <c r="D5" s="6" t="str">
        <f ca="1">IFERROR(__xludf.DUMMYFUNCTION("""COMPUTED_VALUE"""),"50m lamades H7")</f>
        <v>50m lamades H7</v>
      </c>
      <c r="E5" s="6" t="str">
        <f ca="1">IFERROR(__xludf.DUMMYFUNCTION("""COMPUTED_VALUE"""),"Võistkond")</f>
        <v>Võistkond</v>
      </c>
      <c r="F5" s="6" t="str">
        <f ca="1">IFERROR(__xludf.DUMMYFUNCTION("""COMPUTED_VALUE"""),"09.09.23")</f>
        <v>09.09.23</v>
      </c>
      <c r="G5" s="6">
        <f ca="1">IFERROR(__xludf.DUMMYFUNCTION("""COMPUTED_VALUE"""),102.6)</f>
        <v>102.6</v>
      </c>
      <c r="H5" s="6">
        <f ca="1">IFERROR(__xludf.DUMMYFUNCTION("""COMPUTED_VALUE"""),104.5)</f>
        <v>104.5</v>
      </c>
      <c r="I5" s="6">
        <f ca="1">IFERROR(__xludf.DUMMYFUNCTION("""COMPUTED_VALUE"""),101.3)</f>
        <v>101.3</v>
      </c>
      <c r="J5" s="6"/>
      <c r="K5" s="6"/>
      <c r="L5" s="6"/>
      <c r="M5" s="6">
        <f ca="1">IFERROR(__xludf.DUMMYFUNCTION("""COMPUTED_VALUE"""),308.4)</f>
        <v>308.39999999999998</v>
      </c>
      <c r="N5" s="6">
        <f ca="1">IFERROR(__xludf.DUMMYFUNCTION("""COMPUTED_VALUE"""),308.4)</f>
        <v>308.39999999999998</v>
      </c>
    </row>
    <row r="6" spans="1:24" ht="12.75">
      <c r="A6" s="6" t="str">
        <f ca="1">IFERROR(__xludf.DUMMYFUNCTION("""COMPUTED_VALUE"""),"Anžela Voronova")</f>
        <v>Anžela Voronova</v>
      </c>
      <c r="B6" s="6" t="str">
        <f ca="1">IFERROR(__xludf.DUMMYFUNCTION("""COMPUTED_VALUE"""),"Tallinn")</f>
        <v>Tallinn</v>
      </c>
      <c r="C6" s="6" t="str">
        <f ca="1">IFERROR(__xludf.DUMMYFUNCTION("""COMPUTED_VALUE"""),"N")</f>
        <v>N</v>
      </c>
      <c r="D6" s="6" t="str">
        <f ca="1">IFERROR(__xludf.DUMMYFUNCTION("""COMPUTED_VALUE"""),"50m lamades H7")</f>
        <v>50m lamades H7</v>
      </c>
      <c r="E6" s="6" t="str">
        <f ca="1">IFERROR(__xludf.DUMMYFUNCTION("""COMPUTED_VALUE"""),"Individuaalne")</f>
        <v>Individuaalne</v>
      </c>
      <c r="F6" s="6" t="str">
        <f ca="1">IFERROR(__xludf.DUMMYFUNCTION("""COMPUTED_VALUE"""),"09.09.23")</f>
        <v>09.09.23</v>
      </c>
      <c r="G6" s="6">
        <f ca="1">IFERROR(__xludf.DUMMYFUNCTION("""COMPUTED_VALUE"""),104.1)</f>
        <v>104.1</v>
      </c>
      <c r="H6" s="6">
        <f ca="1">IFERROR(__xludf.DUMMYFUNCTION("""COMPUTED_VALUE"""),102.9)</f>
        <v>102.9</v>
      </c>
      <c r="I6" s="6">
        <f ca="1">IFERROR(__xludf.DUMMYFUNCTION("""COMPUTED_VALUE"""),100.9)</f>
        <v>100.9</v>
      </c>
      <c r="J6" s="6"/>
      <c r="K6" s="6"/>
      <c r="L6" s="6"/>
      <c r="M6" s="6">
        <f ca="1">IFERROR(__xludf.DUMMYFUNCTION("""COMPUTED_VALUE"""),307.9)</f>
        <v>307.89999999999998</v>
      </c>
      <c r="N6" s="6"/>
    </row>
    <row r="7" spans="1:24" ht="12.75">
      <c r="A7" s="6" t="str">
        <f ca="1">IFERROR(__xludf.DUMMYFUNCTION("""COMPUTED_VALUE"""),"Markus Minn")</f>
        <v>Markus Minn</v>
      </c>
      <c r="B7" s="6" t="str">
        <f ca="1">IFERROR(__xludf.DUMMYFUNCTION("""COMPUTED_VALUE"""),"Pärnumaa")</f>
        <v>Pärnumaa</v>
      </c>
      <c r="C7" s="6" t="str">
        <f ca="1">IFERROR(__xludf.DUMMYFUNCTION("""COMPUTED_VALUE"""),"P")</f>
        <v>P</v>
      </c>
      <c r="D7" s="6" t="str">
        <f ca="1">IFERROR(__xludf.DUMMYFUNCTION("""COMPUTED_VALUE"""),"50m lamades H7")</f>
        <v>50m lamades H7</v>
      </c>
      <c r="E7" s="6" t="str">
        <f ca="1">IFERROR(__xludf.DUMMYFUNCTION("""COMPUTED_VALUE"""),"Võistkond")</f>
        <v>Võistkond</v>
      </c>
      <c r="F7" s="6" t="str">
        <f ca="1">IFERROR(__xludf.DUMMYFUNCTION("""COMPUTED_VALUE"""),"09.09.23")</f>
        <v>09.09.23</v>
      </c>
      <c r="G7" s="6">
        <f ca="1">IFERROR(__xludf.DUMMYFUNCTION("""COMPUTED_VALUE"""),103.8)</f>
        <v>103.8</v>
      </c>
      <c r="H7" s="6">
        <f ca="1">IFERROR(__xludf.DUMMYFUNCTION("""COMPUTED_VALUE"""),101)</f>
        <v>101</v>
      </c>
      <c r="I7" s="6">
        <f ca="1">IFERROR(__xludf.DUMMYFUNCTION("""COMPUTED_VALUE"""),102.8)</f>
        <v>102.8</v>
      </c>
      <c r="J7" s="6"/>
      <c r="K7" s="6"/>
      <c r="L7" s="6"/>
      <c r="M7" s="6">
        <f ca="1">IFERROR(__xludf.DUMMYFUNCTION("""COMPUTED_VALUE"""),307.6)</f>
        <v>307.60000000000002</v>
      </c>
      <c r="N7" s="6">
        <f ca="1">IFERROR(__xludf.DUMMYFUNCTION("""COMPUTED_VALUE"""),307.6)</f>
        <v>307.60000000000002</v>
      </c>
    </row>
    <row r="8" spans="1:24" ht="12.75">
      <c r="A8" s="6" t="str">
        <f ca="1">IFERROR(__xludf.DUMMYFUNCTION("""COMPUTED_VALUE"""),"Karina Kotkas")</f>
        <v>Karina Kotkas</v>
      </c>
      <c r="B8" s="6" t="str">
        <f ca="1">IFERROR(__xludf.DUMMYFUNCTION("""COMPUTED_VALUE"""),"Pärnumaa")</f>
        <v>Pärnumaa</v>
      </c>
      <c r="C8" s="6" t="str">
        <f ca="1">IFERROR(__xludf.DUMMYFUNCTION("""COMPUTED_VALUE"""),"N")</f>
        <v>N</v>
      </c>
      <c r="D8" s="6" t="str">
        <f ca="1">IFERROR(__xludf.DUMMYFUNCTION("""COMPUTED_VALUE"""),"50m lamades H7")</f>
        <v>50m lamades H7</v>
      </c>
      <c r="E8" s="6" t="str">
        <f ca="1">IFERROR(__xludf.DUMMYFUNCTION("""COMPUTED_VALUE"""),"Võistkond")</f>
        <v>Võistkond</v>
      </c>
      <c r="F8" s="6" t="str">
        <f ca="1">IFERROR(__xludf.DUMMYFUNCTION("""COMPUTED_VALUE"""),"09.09.23")</f>
        <v>09.09.23</v>
      </c>
      <c r="G8" s="6">
        <f ca="1">IFERROR(__xludf.DUMMYFUNCTION("""COMPUTED_VALUE"""),102.8)</f>
        <v>102.8</v>
      </c>
      <c r="H8" s="6">
        <f ca="1">IFERROR(__xludf.DUMMYFUNCTION("""COMPUTED_VALUE"""),102.1)</f>
        <v>102.1</v>
      </c>
      <c r="I8" s="6">
        <f ca="1">IFERROR(__xludf.DUMMYFUNCTION("""COMPUTED_VALUE"""),102.7)</f>
        <v>102.7</v>
      </c>
      <c r="J8" s="6"/>
      <c r="K8" s="6"/>
      <c r="L8" s="6"/>
      <c r="M8" s="6">
        <f ca="1">IFERROR(__xludf.DUMMYFUNCTION("""COMPUTED_VALUE"""),307.599999999999)</f>
        <v>307.599999999999</v>
      </c>
      <c r="N8" s="6">
        <f ca="1">IFERROR(__xludf.DUMMYFUNCTION("""COMPUTED_VALUE"""),307.599999999999)</f>
        <v>307.599999999999</v>
      </c>
    </row>
    <row r="9" spans="1:24" ht="12.75">
      <c r="A9" s="6" t="str">
        <f ca="1">IFERROR(__xludf.DUMMYFUNCTION("""COMPUTED_VALUE"""),"Andrei Mihhailov")</f>
        <v>Andrei Mihhailov</v>
      </c>
      <c r="B9" s="6" t="str">
        <f ca="1">IFERROR(__xludf.DUMMYFUNCTION("""COMPUTED_VALUE"""),"Alutaguse")</f>
        <v>Alutaguse</v>
      </c>
      <c r="C9" s="6" t="str">
        <f ca="1">IFERROR(__xludf.DUMMYFUNCTION("""COMPUTED_VALUE"""),"M")</f>
        <v>M</v>
      </c>
      <c r="D9" s="6" t="str">
        <f ca="1">IFERROR(__xludf.DUMMYFUNCTION("""COMPUTED_VALUE"""),"50m lamades H7")</f>
        <v>50m lamades H7</v>
      </c>
      <c r="E9" s="6" t="str">
        <f ca="1">IFERROR(__xludf.DUMMYFUNCTION("""COMPUTED_VALUE"""),"Võistkond")</f>
        <v>Võistkond</v>
      </c>
      <c r="F9" s="6" t="str">
        <f ca="1">IFERROR(__xludf.DUMMYFUNCTION("""COMPUTED_VALUE"""),"09.09.23")</f>
        <v>09.09.23</v>
      </c>
      <c r="G9" s="6">
        <f ca="1">IFERROR(__xludf.DUMMYFUNCTION("""COMPUTED_VALUE"""),102.2)</f>
        <v>102.2</v>
      </c>
      <c r="H9" s="6">
        <f ca="1">IFERROR(__xludf.DUMMYFUNCTION("""COMPUTED_VALUE"""),104.5)</f>
        <v>104.5</v>
      </c>
      <c r="I9" s="6">
        <f ca="1">IFERROR(__xludf.DUMMYFUNCTION("""COMPUTED_VALUE"""),100.6)</f>
        <v>100.6</v>
      </c>
      <c r="J9" s="6"/>
      <c r="K9" s="6"/>
      <c r="L9" s="6"/>
      <c r="M9" s="6">
        <f ca="1">IFERROR(__xludf.DUMMYFUNCTION("""COMPUTED_VALUE"""),307.299999999999)</f>
        <v>307.29999999999899</v>
      </c>
      <c r="N9" s="6">
        <f ca="1">IFERROR(__xludf.DUMMYFUNCTION("""COMPUTED_VALUE"""),307.299999999999)</f>
        <v>307.29999999999899</v>
      </c>
    </row>
    <row r="10" spans="1:24" ht="12.75">
      <c r="A10" s="6" t="str">
        <f ca="1">IFERROR(__xludf.DUMMYFUNCTION("""COMPUTED_VALUE"""),"Valeria Škabara")</f>
        <v>Valeria Škabara</v>
      </c>
      <c r="B10" s="6" t="str">
        <f ca="1">IFERROR(__xludf.DUMMYFUNCTION("""COMPUTED_VALUE"""),"Alutaguse")</f>
        <v>Alutaguse</v>
      </c>
      <c r="C10" s="6" t="str">
        <f ca="1">IFERROR(__xludf.DUMMYFUNCTION("""COMPUTED_VALUE"""),"N")</f>
        <v>N</v>
      </c>
      <c r="D10" s="6" t="str">
        <f ca="1">IFERROR(__xludf.DUMMYFUNCTION("""COMPUTED_VALUE"""),"50m lamades H7")</f>
        <v>50m lamades H7</v>
      </c>
      <c r="E10" s="6" t="str">
        <f ca="1">IFERROR(__xludf.DUMMYFUNCTION("""COMPUTED_VALUE"""),"Võistkond")</f>
        <v>Võistkond</v>
      </c>
      <c r="F10" s="6" t="str">
        <f ca="1">IFERROR(__xludf.DUMMYFUNCTION("""COMPUTED_VALUE"""),"09.09.23")</f>
        <v>09.09.23</v>
      </c>
      <c r="G10" s="6">
        <f ca="1">IFERROR(__xludf.DUMMYFUNCTION("""COMPUTED_VALUE"""),99.1)</f>
        <v>99.1</v>
      </c>
      <c r="H10" s="6">
        <f ca="1">IFERROR(__xludf.DUMMYFUNCTION("""COMPUTED_VALUE"""),103.4)</f>
        <v>103.4</v>
      </c>
      <c r="I10" s="6">
        <f ca="1">IFERROR(__xludf.DUMMYFUNCTION("""COMPUTED_VALUE"""),104.1)</f>
        <v>104.1</v>
      </c>
      <c r="J10" s="6"/>
      <c r="K10" s="6"/>
      <c r="L10" s="6"/>
      <c r="M10" s="6">
        <f ca="1">IFERROR(__xludf.DUMMYFUNCTION("""COMPUTED_VALUE"""),306.6)</f>
        <v>306.60000000000002</v>
      </c>
      <c r="N10" s="6">
        <f ca="1">IFERROR(__xludf.DUMMYFUNCTION("""COMPUTED_VALUE"""),306.6)</f>
        <v>306.60000000000002</v>
      </c>
    </row>
    <row r="11" spans="1:24" ht="12.75">
      <c r="A11" s="6" t="str">
        <f ca="1">IFERROR(__xludf.DUMMYFUNCTION("""COMPUTED_VALUE"""),"Riti Põder")</f>
        <v>Riti Põder</v>
      </c>
      <c r="B11" s="6" t="str">
        <f ca="1">IFERROR(__xludf.DUMMYFUNCTION("""COMPUTED_VALUE"""),"Järva")</f>
        <v>Järva</v>
      </c>
      <c r="C11" s="6" t="str">
        <f ca="1">IFERROR(__xludf.DUMMYFUNCTION("""COMPUTED_VALUE"""),"T")</f>
        <v>T</v>
      </c>
      <c r="D11" s="6" t="str">
        <f ca="1">IFERROR(__xludf.DUMMYFUNCTION("""COMPUTED_VALUE"""),"50m lamades H7")</f>
        <v>50m lamades H7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IFERROR(__xludf.DUMMYFUNCTION("""COMPUTED_VALUE"""),102.5)</f>
        <v>102.5</v>
      </c>
      <c r="H11" s="6">
        <f ca="1">IFERROR(__xludf.DUMMYFUNCTION("""COMPUTED_VALUE"""),101.3)</f>
        <v>101.3</v>
      </c>
      <c r="I11" s="6">
        <f ca="1">IFERROR(__xludf.DUMMYFUNCTION("""COMPUTED_VALUE"""),102.8)</f>
        <v>102.8</v>
      </c>
      <c r="J11" s="6"/>
      <c r="K11" s="6"/>
      <c r="L11" s="6"/>
      <c r="M11" s="6">
        <f ca="1">IFERROR(__xludf.DUMMYFUNCTION("""COMPUTED_VALUE"""),306.6)</f>
        <v>306.60000000000002</v>
      </c>
      <c r="N11" s="6">
        <f ca="1">IFERROR(__xludf.DUMMYFUNCTION("""COMPUTED_VALUE"""),306.6)</f>
        <v>306.60000000000002</v>
      </c>
    </row>
    <row r="12" spans="1:24" ht="12.75">
      <c r="A12" s="6" t="str">
        <f ca="1">IFERROR(__xludf.DUMMYFUNCTION("""COMPUTED_VALUE"""),"Valeria Safronova NJ")</f>
        <v>Valeria Safronova NJ</v>
      </c>
      <c r="B12" s="6" t="str">
        <f ca="1">IFERROR(__xludf.DUMMYFUNCTION("""COMPUTED_VALUE"""),"Alutaguse")</f>
        <v>Alutaguse</v>
      </c>
      <c r="C12" s="6" t="str">
        <f ca="1">IFERROR(__xludf.DUMMYFUNCTION("""COMPUTED_VALUE"""),"NJ")</f>
        <v>NJ</v>
      </c>
      <c r="D12" s="6" t="str">
        <f ca="1">IFERROR(__xludf.DUMMYFUNCTION("""COMPUTED_VALUE"""),"50m lamades H7")</f>
        <v>50m lamades H7</v>
      </c>
      <c r="E12" s="6" t="str">
        <f ca="1">IFERROR(__xludf.DUMMYFUNCTION("""COMPUTED_VALUE"""),"Individuaalne")</f>
        <v>Individuaalne</v>
      </c>
      <c r="F12" s="6" t="str">
        <f ca="1">IFERROR(__xludf.DUMMYFUNCTION("""COMPUTED_VALUE"""),"09.09.23")</f>
        <v>09.09.23</v>
      </c>
      <c r="G12" s="6">
        <f ca="1">IFERROR(__xludf.DUMMYFUNCTION("""COMPUTED_VALUE"""),101.1)</f>
        <v>101.1</v>
      </c>
      <c r="H12" s="6">
        <f ca="1">IFERROR(__xludf.DUMMYFUNCTION("""COMPUTED_VALUE"""),101.3)</f>
        <v>101.3</v>
      </c>
      <c r="I12" s="6">
        <f ca="1">IFERROR(__xludf.DUMMYFUNCTION("""COMPUTED_VALUE"""),103.3)</f>
        <v>103.3</v>
      </c>
      <c r="J12" s="6"/>
      <c r="K12" s="6"/>
      <c r="L12" s="6"/>
      <c r="M12" s="6">
        <f ca="1">IFERROR(__xludf.DUMMYFUNCTION("""COMPUTED_VALUE"""),305.7)</f>
        <v>305.7</v>
      </c>
      <c r="N12" s="6"/>
    </row>
    <row r="13" spans="1:24" ht="12.75">
      <c r="A13" s="6" t="str">
        <f ca="1">IFERROR(__xludf.DUMMYFUNCTION("""COMPUTED_VALUE"""),"Neeme Virveste")</f>
        <v>Neeme Virveste</v>
      </c>
      <c r="B13" s="6" t="str">
        <f ca="1">IFERROR(__xludf.DUMMYFUNCTION("""COMPUTED_VALUE"""),"Saaremaa")</f>
        <v>Saaremaa</v>
      </c>
      <c r="C13" s="6" t="str">
        <f ca="1">IFERROR(__xludf.DUMMYFUNCTION("""COMPUTED_VALUE"""),"M")</f>
        <v>M</v>
      </c>
      <c r="D13" s="6" t="str">
        <f ca="1">IFERROR(__xludf.DUMMYFUNCTION("""COMPUTED_VALUE"""),"50m lamades H7")</f>
        <v>50m lamades H7</v>
      </c>
      <c r="E13" s="6" t="str">
        <f ca="1">IFERROR(__xludf.DUMMYFUNCTION("""COMPUTED_VALUE"""),"Võistkond")</f>
        <v>Võistkond</v>
      </c>
      <c r="F13" s="6" t="str">
        <f ca="1">IFERROR(__xludf.DUMMYFUNCTION("""COMPUTED_VALUE"""),"09.09.23")</f>
        <v>09.09.23</v>
      </c>
      <c r="G13" s="6">
        <f ca="1">IFERROR(__xludf.DUMMYFUNCTION("""COMPUTED_VALUE"""),101.6)</f>
        <v>101.6</v>
      </c>
      <c r="H13" s="6">
        <f ca="1">IFERROR(__xludf.DUMMYFUNCTION("""COMPUTED_VALUE"""),101.6)</f>
        <v>101.6</v>
      </c>
      <c r="I13" s="6">
        <f ca="1">IFERROR(__xludf.DUMMYFUNCTION("""COMPUTED_VALUE"""),101.6)</f>
        <v>101.6</v>
      </c>
      <c r="J13" s="6"/>
      <c r="K13" s="6"/>
      <c r="L13" s="6"/>
      <c r="M13" s="6">
        <f ca="1">IFERROR(__xludf.DUMMYFUNCTION("""COMPUTED_VALUE"""),304.799999999999)</f>
        <v>304.79999999999899</v>
      </c>
      <c r="N13" s="6">
        <f ca="1">IFERROR(__xludf.DUMMYFUNCTION("""COMPUTED_VALUE"""),304.799999999999)</f>
        <v>304.79999999999899</v>
      </c>
    </row>
    <row r="14" spans="1:24" ht="12.75">
      <c r="A14" s="6" t="str">
        <f ca="1">IFERROR(__xludf.DUMMYFUNCTION("""COMPUTED_VALUE"""),"Marianne Tavits")</f>
        <v>Marianne Tavits</v>
      </c>
      <c r="B14" s="6" t="str">
        <f ca="1">IFERROR(__xludf.DUMMYFUNCTION("""COMPUTED_VALUE"""),"Tartu")</f>
        <v>Tartu</v>
      </c>
      <c r="C14" s="6" t="str">
        <f ca="1">IFERROR(__xludf.DUMMYFUNCTION("""COMPUTED_VALUE"""),"N")</f>
        <v>N</v>
      </c>
      <c r="D14" s="6" t="str">
        <f ca="1">IFERROR(__xludf.DUMMYFUNCTION("""COMPUTED_VALUE"""),"50m lamades H7")</f>
        <v>50m lamades H7</v>
      </c>
      <c r="E14" s="6" t="str">
        <f ca="1">IFERROR(__xludf.DUMMYFUNCTION("""COMPUTED_VALUE"""),"Võistkond")</f>
        <v>Võistkond</v>
      </c>
      <c r="F14" s="6" t="str">
        <f ca="1">IFERROR(__xludf.DUMMYFUNCTION("""COMPUTED_VALUE"""),"10.09.23")</f>
        <v>10.09.23</v>
      </c>
      <c r="G14" s="6">
        <f ca="1">IFERROR(__xludf.DUMMYFUNCTION("""COMPUTED_VALUE"""),102.5)</f>
        <v>102.5</v>
      </c>
      <c r="H14" s="6">
        <f ca="1">IFERROR(__xludf.DUMMYFUNCTION("""COMPUTED_VALUE"""),98.9)</f>
        <v>98.9</v>
      </c>
      <c r="I14" s="6">
        <f ca="1">IFERROR(__xludf.DUMMYFUNCTION("""COMPUTED_VALUE"""),103.3)</f>
        <v>103.3</v>
      </c>
      <c r="J14" s="6"/>
      <c r="K14" s="6"/>
      <c r="L14" s="6"/>
      <c r="M14" s="6">
        <f ca="1">IFERROR(__xludf.DUMMYFUNCTION("""COMPUTED_VALUE"""),304.7)</f>
        <v>304.7</v>
      </c>
      <c r="N14" s="6">
        <f ca="1">IFERROR(__xludf.DUMMYFUNCTION("""COMPUTED_VALUE"""),304.7)</f>
        <v>304.7</v>
      </c>
    </row>
    <row r="15" spans="1:24" ht="12.75">
      <c r="A15" s="6" t="str">
        <f ca="1">IFERROR(__xludf.DUMMYFUNCTION("""COMPUTED_VALUE"""),"Kaspar Pettai")</f>
        <v>Kaspar Pettai</v>
      </c>
      <c r="B15" s="6" t="str">
        <f ca="1">IFERROR(__xludf.DUMMYFUNCTION("""COMPUTED_VALUE"""),"Järva")</f>
        <v>Järva</v>
      </c>
      <c r="C15" s="6" t="str">
        <f ca="1">IFERROR(__xludf.DUMMYFUNCTION("""COMPUTED_VALUE"""),"P")</f>
        <v>P</v>
      </c>
      <c r="D15" s="6" t="str">
        <f ca="1">IFERROR(__xludf.DUMMYFUNCTION("""COMPUTED_VALUE"""),"50m lamades H7")</f>
        <v>50m lamades H7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IFERROR(__xludf.DUMMYFUNCTION("""COMPUTED_VALUE"""),101.8)</f>
        <v>101.8</v>
      </c>
      <c r="H15" s="6">
        <f ca="1">IFERROR(__xludf.DUMMYFUNCTION("""COMPUTED_VALUE"""),100.2)</f>
        <v>100.2</v>
      </c>
      <c r="I15" s="6">
        <f ca="1">IFERROR(__xludf.DUMMYFUNCTION("""COMPUTED_VALUE"""),102.4)</f>
        <v>102.4</v>
      </c>
      <c r="J15" s="6"/>
      <c r="K15" s="6"/>
      <c r="L15" s="6"/>
      <c r="M15" s="6">
        <f ca="1">IFERROR(__xludf.DUMMYFUNCTION("""COMPUTED_VALUE"""),304.4)</f>
        <v>304.39999999999998</v>
      </c>
      <c r="N15" s="6">
        <f ca="1">IFERROR(__xludf.DUMMYFUNCTION("""COMPUTED_VALUE"""),304.4)</f>
        <v>304.39999999999998</v>
      </c>
    </row>
    <row r="16" spans="1:24" ht="12.75">
      <c r="A16" s="6" t="str">
        <f ca="1">IFERROR(__xludf.DUMMYFUNCTION("""COMPUTED_VALUE"""),"Kahru Männik")</f>
        <v>Kahru Männik</v>
      </c>
      <c r="B16" s="6" t="str">
        <f ca="1">IFERROR(__xludf.DUMMYFUNCTION("""COMPUTED_VALUE"""),"Tartu")</f>
        <v>Tartu</v>
      </c>
      <c r="C16" s="6" t="str">
        <f ca="1">IFERROR(__xludf.DUMMYFUNCTION("""COMPUTED_VALUE"""),"M")</f>
        <v>M</v>
      </c>
      <c r="D16" s="6" t="str">
        <f ca="1">IFERROR(__xludf.DUMMYFUNCTION("""COMPUTED_VALUE"""),"50m lamades H7")</f>
        <v>50m lamades H7</v>
      </c>
      <c r="E16" s="6" t="str">
        <f ca="1">IFERROR(__xludf.DUMMYFUNCTION("""COMPUTED_VALUE"""),"Individuaalne")</f>
        <v>Individuaalne</v>
      </c>
      <c r="F16" s="6" t="str">
        <f ca="1">IFERROR(__xludf.DUMMYFUNCTION("""COMPUTED_VALUE"""),"10.09.23")</f>
        <v>10.09.23</v>
      </c>
      <c r="G16" s="6">
        <f ca="1">IFERROR(__xludf.DUMMYFUNCTION("""COMPUTED_VALUE"""),100.1)</f>
        <v>100.1</v>
      </c>
      <c r="H16" s="6">
        <f ca="1">IFERROR(__xludf.DUMMYFUNCTION("""COMPUTED_VALUE"""),99.9)</f>
        <v>99.9</v>
      </c>
      <c r="I16" s="6">
        <f ca="1">IFERROR(__xludf.DUMMYFUNCTION("""COMPUTED_VALUE"""),104.2)</f>
        <v>104.2</v>
      </c>
      <c r="J16" s="6"/>
      <c r="K16" s="6"/>
      <c r="L16" s="6"/>
      <c r="M16" s="6">
        <f ca="1">IFERROR(__xludf.DUMMYFUNCTION("""COMPUTED_VALUE"""),304.2)</f>
        <v>304.2</v>
      </c>
      <c r="N16" s="6"/>
    </row>
    <row r="17" spans="1:14" ht="12.75">
      <c r="A17" s="6" t="str">
        <f ca="1">IFERROR(__xludf.DUMMYFUNCTION("""COMPUTED_VALUE"""),"Aivar Kuhi")</f>
        <v>Aivar Kuhi</v>
      </c>
      <c r="B17" s="6" t="str">
        <f ca="1">IFERROR(__xludf.DUMMYFUNCTION("""COMPUTED_VALUE"""),"Põlva")</f>
        <v>Põlva</v>
      </c>
      <c r="C17" s="6" t="str">
        <f ca="1">IFERROR(__xludf.DUMMYFUNCTION("""COMPUTED_VALUE"""),"M")</f>
        <v>M</v>
      </c>
      <c r="D17" s="6" t="str">
        <f ca="1">IFERROR(__xludf.DUMMYFUNCTION("""COMPUTED_VALUE"""),"50m lamades H7")</f>
        <v>50m lamades H7</v>
      </c>
      <c r="E17" s="6" t="str">
        <f ca="1">IFERROR(__xludf.DUMMYFUNCTION("""COMPUTED_VALUE"""),"Võistkond")</f>
        <v>Võistkond</v>
      </c>
      <c r="F17" s="6" t="str">
        <f ca="1">IFERROR(__xludf.DUMMYFUNCTION("""COMPUTED_VALUE"""),"10.09.23")</f>
        <v>10.09.23</v>
      </c>
      <c r="G17" s="6">
        <f ca="1">IFERROR(__xludf.DUMMYFUNCTION("""COMPUTED_VALUE"""),99.8)</f>
        <v>99.8</v>
      </c>
      <c r="H17" s="6">
        <f ca="1">IFERROR(__xludf.DUMMYFUNCTION("""COMPUTED_VALUE"""),102.8)</f>
        <v>102.8</v>
      </c>
      <c r="I17" s="6">
        <f ca="1">IFERROR(__xludf.DUMMYFUNCTION("""COMPUTED_VALUE"""),101.6)</f>
        <v>101.6</v>
      </c>
      <c r="J17" s="6"/>
      <c r="K17" s="6"/>
      <c r="L17" s="6"/>
      <c r="M17" s="6">
        <f ca="1">IFERROR(__xludf.DUMMYFUNCTION("""COMPUTED_VALUE"""),304.2)</f>
        <v>304.2</v>
      </c>
      <c r="N17" s="6">
        <f ca="1">IFERROR(__xludf.DUMMYFUNCTION("""COMPUTED_VALUE"""),304.2)</f>
        <v>304.2</v>
      </c>
    </row>
    <row r="18" spans="1:14" ht="12.75">
      <c r="A18" s="6" t="str">
        <f ca="1">IFERROR(__xludf.DUMMYFUNCTION("""COMPUTED_VALUE"""),"Adeele Koppelmann")</f>
        <v>Adeele Koppelmann</v>
      </c>
      <c r="B18" s="6" t="str">
        <f ca="1">IFERROR(__xludf.DUMMYFUNCTION("""COMPUTED_VALUE"""),"Tallinn")</f>
        <v>Tallinn</v>
      </c>
      <c r="C18" s="6" t="str">
        <f ca="1">IFERROR(__xludf.DUMMYFUNCTION("""COMPUTED_VALUE"""),"T")</f>
        <v>T</v>
      </c>
      <c r="D18" s="6" t="str">
        <f ca="1">IFERROR(__xludf.DUMMYFUNCTION("""COMPUTED_VALUE"""),"50m lamades H7")</f>
        <v>50m lamades H7</v>
      </c>
      <c r="E18" s="6" t="str">
        <f ca="1">IFERROR(__xludf.DUMMYFUNCTION("""COMPUTED_VALUE"""),"Võistkond")</f>
        <v>Võistkond</v>
      </c>
      <c r="F18" s="6" t="str">
        <f ca="1">IFERROR(__xludf.DUMMYFUNCTION("""COMPUTED_VALUE"""),"09.09.23")</f>
        <v>09.09.23</v>
      </c>
      <c r="G18" s="6">
        <f ca="1">IFERROR(__xludf.DUMMYFUNCTION("""COMPUTED_VALUE"""),99.8)</f>
        <v>99.8</v>
      </c>
      <c r="H18" s="6">
        <f ca="1">IFERROR(__xludf.DUMMYFUNCTION("""COMPUTED_VALUE"""),101.8)</f>
        <v>101.8</v>
      </c>
      <c r="I18" s="6">
        <f ca="1">IFERROR(__xludf.DUMMYFUNCTION("""COMPUTED_VALUE"""),102)</f>
        <v>102</v>
      </c>
      <c r="J18" s="6"/>
      <c r="K18" s="6"/>
      <c r="L18" s="6"/>
      <c r="M18" s="6">
        <f ca="1">IFERROR(__xludf.DUMMYFUNCTION("""COMPUTED_VALUE"""),303.6)</f>
        <v>303.60000000000002</v>
      </c>
      <c r="N18" s="6">
        <f ca="1">IFERROR(__xludf.DUMMYFUNCTION("""COMPUTED_VALUE"""),303.6)</f>
        <v>303.60000000000002</v>
      </c>
    </row>
    <row r="19" spans="1:14" ht="12.75">
      <c r="A19" s="6" t="str">
        <f ca="1">IFERROR(__xludf.DUMMYFUNCTION("""COMPUTED_VALUE"""),"Kristofer-Jaago Kivari")</f>
        <v>Kristofer-Jaago Kivari</v>
      </c>
      <c r="B19" s="6" t="str">
        <f ca="1">IFERROR(__xludf.DUMMYFUNCTION("""COMPUTED_VALUE"""),"Tartu")</f>
        <v>Tartu</v>
      </c>
      <c r="C19" s="6" t="str">
        <f ca="1">IFERROR(__xludf.DUMMYFUNCTION("""COMPUTED_VALUE"""),"M")</f>
        <v>M</v>
      </c>
      <c r="D19" s="6" t="str">
        <f ca="1">IFERROR(__xludf.DUMMYFUNCTION("""COMPUTED_VALUE"""),"50m lamades H7")</f>
        <v>50m lamades H7</v>
      </c>
      <c r="E19" s="6" t="str">
        <f ca="1">IFERROR(__xludf.DUMMYFUNCTION("""COMPUTED_VALUE"""),"Võistkond")</f>
        <v>Võistkond</v>
      </c>
      <c r="F19" s="6" t="str">
        <f ca="1">IFERROR(__xludf.DUMMYFUNCTION("""COMPUTED_VALUE"""),"10.09.23")</f>
        <v>10.09.23</v>
      </c>
      <c r="G19" s="6">
        <f ca="1">IFERROR(__xludf.DUMMYFUNCTION("""COMPUTED_VALUE"""),99.9)</f>
        <v>99.9</v>
      </c>
      <c r="H19" s="6">
        <f ca="1">IFERROR(__xludf.DUMMYFUNCTION("""COMPUTED_VALUE"""),102.6)</f>
        <v>102.6</v>
      </c>
      <c r="I19" s="6">
        <f ca="1">IFERROR(__xludf.DUMMYFUNCTION("""COMPUTED_VALUE"""),100.9)</f>
        <v>100.9</v>
      </c>
      <c r="J19" s="6"/>
      <c r="K19" s="6"/>
      <c r="L19" s="6"/>
      <c r="M19" s="6">
        <f ca="1">IFERROR(__xludf.DUMMYFUNCTION("""COMPUTED_VALUE"""),303.4)</f>
        <v>303.39999999999998</v>
      </c>
      <c r="N19" s="6">
        <f ca="1">IFERROR(__xludf.DUMMYFUNCTION("""COMPUTED_VALUE"""),303.4)</f>
        <v>303.39999999999998</v>
      </c>
    </row>
    <row r="20" spans="1:14" ht="12.75">
      <c r="A20" s="6" t="str">
        <f ca="1">IFERROR(__xludf.DUMMYFUNCTION("""COMPUTED_VALUE"""),"Arina Jefimova")</f>
        <v>Arina Jefimova</v>
      </c>
      <c r="B20" s="6" t="str">
        <f ca="1">IFERROR(__xludf.DUMMYFUNCTION("""COMPUTED_VALUE"""),"Alutaguse")</f>
        <v>Alutaguse</v>
      </c>
      <c r="C20" s="6" t="str">
        <f ca="1">IFERROR(__xludf.DUMMYFUNCTION("""COMPUTED_VALUE"""),"T")</f>
        <v>T</v>
      </c>
      <c r="D20" s="6" t="str">
        <f ca="1">IFERROR(__xludf.DUMMYFUNCTION("""COMPUTED_VALUE"""),"50m lamades H7")</f>
        <v>50m lamades H7</v>
      </c>
      <c r="E20" s="6" t="str">
        <f ca="1">IFERROR(__xludf.DUMMYFUNCTION("""COMPUTED_VALUE"""),"Individuaalne")</f>
        <v>Individuaalne</v>
      </c>
      <c r="F20" s="6" t="str">
        <f ca="1">IFERROR(__xludf.DUMMYFUNCTION("""COMPUTED_VALUE"""),"09.09.23")</f>
        <v>09.09.23</v>
      </c>
      <c r="G20" s="6">
        <f ca="1">IFERROR(__xludf.DUMMYFUNCTION("""COMPUTED_VALUE"""),100.8)</f>
        <v>100.8</v>
      </c>
      <c r="H20" s="6">
        <f ca="1">IFERROR(__xludf.DUMMYFUNCTION("""COMPUTED_VALUE"""),101.4)</f>
        <v>101.4</v>
      </c>
      <c r="I20" s="6">
        <f ca="1">IFERROR(__xludf.DUMMYFUNCTION("""COMPUTED_VALUE"""),101.1)</f>
        <v>101.1</v>
      </c>
      <c r="J20" s="6"/>
      <c r="K20" s="6"/>
      <c r="L20" s="6"/>
      <c r="M20" s="6">
        <f ca="1">IFERROR(__xludf.DUMMYFUNCTION("""COMPUTED_VALUE"""),303.299999999999)</f>
        <v>303.29999999999899</v>
      </c>
      <c r="N20" s="6"/>
    </row>
    <row r="21" spans="1:14" ht="12.75">
      <c r="A21" s="6" t="str">
        <f ca="1">IFERROR(__xludf.DUMMYFUNCTION("""COMPUTED_VALUE"""),"Valeria Safronova")</f>
        <v>Valeria Safronova</v>
      </c>
      <c r="B21" s="6" t="str">
        <f ca="1">IFERROR(__xludf.DUMMYFUNCTION("""COMPUTED_VALUE"""),"Alutaguse")</f>
        <v>Alutaguse</v>
      </c>
      <c r="C21" s="6" t="str">
        <f ca="1">IFERROR(__xludf.DUMMYFUNCTION("""COMPUTED_VALUE"""),"T")</f>
        <v>T</v>
      </c>
      <c r="D21" s="6" t="str">
        <f ca="1">IFERROR(__xludf.DUMMYFUNCTION("""COMPUTED_VALUE"""),"50m lamades H7")</f>
        <v>50m lamades H7</v>
      </c>
      <c r="E21" s="6" t="str">
        <f ca="1">IFERROR(__xludf.DUMMYFUNCTION("""COMPUTED_VALUE"""),"Võistkond")</f>
        <v>Võistkond</v>
      </c>
      <c r="F21" s="6" t="str">
        <f ca="1">IFERROR(__xludf.DUMMYFUNCTION("""COMPUTED_VALUE"""),"09.09.23")</f>
        <v>09.09.23</v>
      </c>
      <c r="G21" s="6">
        <f ca="1">IFERROR(__xludf.DUMMYFUNCTION("""COMPUTED_VALUE"""),100.6)</f>
        <v>100.6</v>
      </c>
      <c r="H21" s="6">
        <f ca="1">IFERROR(__xludf.DUMMYFUNCTION("""COMPUTED_VALUE"""),101.2)</f>
        <v>101.2</v>
      </c>
      <c r="I21" s="6">
        <f ca="1">IFERROR(__xludf.DUMMYFUNCTION("""COMPUTED_VALUE"""),100.4)</f>
        <v>100.4</v>
      </c>
      <c r="J21" s="6"/>
      <c r="K21" s="6"/>
      <c r="L21" s="6"/>
      <c r="M21" s="6">
        <f ca="1">IFERROR(__xludf.DUMMYFUNCTION("""COMPUTED_VALUE"""),302.2)</f>
        <v>302.2</v>
      </c>
      <c r="N21" s="6">
        <f ca="1">IFERROR(__xludf.DUMMYFUNCTION("""COMPUTED_VALUE"""),302.2)</f>
        <v>302.2</v>
      </c>
    </row>
    <row r="22" spans="1:14" ht="12.75">
      <c r="A22" s="6" t="str">
        <f ca="1">IFERROR(__xludf.DUMMYFUNCTION("""COMPUTED_VALUE"""),"Markko Aarne")</f>
        <v>Markko Aarne</v>
      </c>
      <c r="B22" s="6" t="str">
        <f ca="1">IFERROR(__xludf.DUMMYFUNCTION("""COMPUTED_VALUE"""),"Sakala")</f>
        <v>Sakala</v>
      </c>
      <c r="C22" s="6" t="str">
        <f ca="1">IFERROR(__xludf.DUMMYFUNCTION("""COMPUTED_VALUE"""),"M")</f>
        <v>M</v>
      </c>
      <c r="D22" s="6" t="str">
        <f ca="1">IFERROR(__xludf.DUMMYFUNCTION("""COMPUTED_VALUE"""),"50m lamades H7")</f>
        <v>50m lamades H7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IFERROR(__xludf.DUMMYFUNCTION("""COMPUTED_VALUE"""),100.1)</f>
        <v>100.1</v>
      </c>
      <c r="H22" s="6">
        <f ca="1">IFERROR(__xludf.DUMMYFUNCTION("""COMPUTED_VALUE"""),102.3)</f>
        <v>102.3</v>
      </c>
      <c r="I22" s="6">
        <f ca="1">IFERROR(__xludf.DUMMYFUNCTION("""COMPUTED_VALUE"""),99.6)</f>
        <v>99.6</v>
      </c>
      <c r="J22" s="6"/>
      <c r="K22" s="6"/>
      <c r="L22" s="6"/>
      <c r="M22" s="6">
        <f ca="1">IFERROR(__xludf.DUMMYFUNCTION("""COMPUTED_VALUE"""),302)</f>
        <v>302</v>
      </c>
      <c r="N22" s="6">
        <f ca="1">IFERROR(__xludf.DUMMYFUNCTION("""COMPUTED_VALUE"""),302)</f>
        <v>302</v>
      </c>
    </row>
    <row r="23" spans="1:14" ht="12.75">
      <c r="A23" s="6" t="str">
        <f ca="1">IFERROR(__xludf.DUMMYFUNCTION("""COMPUTED_VALUE"""),"Jekaterina Issatšenkova")</f>
        <v>Jekaterina Issatšenkova</v>
      </c>
      <c r="B23" s="6" t="str">
        <f ca="1">IFERROR(__xludf.DUMMYFUNCTION("""COMPUTED_VALUE"""),"Alutaguse")</f>
        <v>Alutaguse</v>
      </c>
      <c r="C23" s="6" t="str">
        <f ca="1">IFERROR(__xludf.DUMMYFUNCTION("""COMPUTED_VALUE"""),"NJ")</f>
        <v>NJ</v>
      </c>
      <c r="D23" s="6" t="str">
        <f ca="1">IFERROR(__xludf.DUMMYFUNCTION("""COMPUTED_VALUE"""),"50m lamades H7")</f>
        <v>50m lamades H7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IFERROR(__xludf.DUMMYFUNCTION("""COMPUTED_VALUE"""),99.4)</f>
        <v>99.4</v>
      </c>
      <c r="H23" s="6">
        <f ca="1">IFERROR(__xludf.DUMMYFUNCTION("""COMPUTED_VALUE"""),100.4)</f>
        <v>100.4</v>
      </c>
      <c r="I23" s="6">
        <f ca="1">IFERROR(__xludf.DUMMYFUNCTION("""COMPUTED_VALUE"""),102.1)</f>
        <v>102.1</v>
      </c>
      <c r="J23" s="6"/>
      <c r="K23" s="6"/>
      <c r="L23" s="6"/>
      <c r="M23" s="6">
        <f ca="1">IFERROR(__xludf.DUMMYFUNCTION("""COMPUTED_VALUE"""),301.9)</f>
        <v>301.89999999999998</v>
      </c>
      <c r="N23" s="6">
        <f ca="1">IFERROR(__xludf.DUMMYFUNCTION("""COMPUTED_VALUE"""),301.9)</f>
        <v>301.89999999999998</v>
      </c>
    </row>
    <row r="24" spans="1:14" ht="12.75">
      <c r="A24" s="6" t="str">
        <f ca="1">IFERROR(__xludf.DUMMYFUNCTION("""COMPUTED_VALUE"""),"Liivi Erm")</f>
        <v>Liivi Erm</v>
      </c>
      <c r="B24" s="6" t="str">
        <f ca="1">IFERROR(__xludf.DUMMYFUNCTION("""COMPUTED_VALUE"""),"Rapla")</f>
        <v>Rapla</v>
      </c>
      <c r="C24" s="6" t="str">
        <f ca="1">IFERROR(__xludf.DUMMYFUNCTION("""COMPUTED_VALUE"""),"N")</f>
        <v>N</v>
      </c>
      <c r="D24" s="6" t="str">
        <f ca="1">IFERROR(__xludf.DUMMYFUNCTION("""COMPUTED_VALUE"""),"50m lamades H7")</f>
        <v>50m lamades H7</v>
      </c>
      <c r="E24" s="6" t="str">
        <f ca="1">IFERROR(__xludf.DUMMYFUNCTION("""COMPUTED_VALUE"""),"Võistkond")</f>
        <v>Võistkond</v>
      </c>
      <c r="F24" s="6" t="str">
        <f ca="1">IFERROR(__xludf.DUMMYFUNCTION("""COMPUTED_VALUE"""),"10.09.23")</f>
        <v>10.09.23</v>
      </c>
      <c r="G24" s="6">
        <f ca="1">IFERROR(__xludf.DUMMYFUNCTION("""COMPUTED_VALUE"""),100.2)</f>
        <v>100.2</v>
      </c>
      <c r="H24" s="6">
        <f ca="1">IFERROR(__xludf.DUMMYFUNCTION("""COMPUTED_VALUE"""),102.8)</f>
        <v>102.8</v>
      </c>
      <c r="I24" s="6">
        <f ca="1">IFERROR(__xludf.DUMMYFUNCTION("""COMPUTED_VALUE"""),98.4)</f>
        <v>98.4</v>
      </c>
      <c r="J24" s="6"/>
      <c r="K24" s="6"/>
      <c r="L24" s="6"/>
      <c r="M24" s="6">
        <f ca="1">IFERROR(__xludf.DUMMYFUNCTION("""COMPUTED_VALUE"""),301.4)</f>
        <v>301.39999999999998</v>
      </c>
      <c r="N24" s="6">
        <f ca="1">IFERROR(__xludf.DUMMYFUNCTION("""COMPUTED_VALUE"""),301.4)</f>
        <v>301.39999999999998</v>
      </c>
    </row>
    <row r="25" spans="1:14" ht="12.75">
      <c r="A25" s="6" t="str">
        <f ca="1">IFERROR(__xludf.DUMMYFUNCTION("""COMPUTED_VALUE"""),"Kristina Mölder")</f>
        <v>Kristina Mölder</v>
      </c>
      <c r="B25" s="6" t="str">
        <f ca="1">IFERROR(__xludf.DUMMYFUNCTION("""COMPUTED_VALUE"""),"Tartu")</f>
        <v>Tartu</v>
      </c>
      <c r="C25" s="6" t="str">
        <f ca="1">IFERROR(__xludf.DUMMYFUNCTION("""COMPUTED_VALUE"""),"NJ")</f>
        <v>NJ</v>
      </c>
      <c r="D25" s="6" t="str">
        <f ca="1">IFERROR(__xludf.DUMMYFUNCTION("""COMPUTED_VALUE"""),"50m lamades H7")</f>
        <v>50m lamades H7</v>
      </c>
      <c r="E25" s="6" t="str">
        <f ca="1">IFERROR(__xludf.DUMMYFUNCTION("""COMPUTED_VALUE"""),"Võistkond")</f>
        <v>Võistkond</v>
      </c>
      <c r="F25" s="6" t="str">
        <f ca="1">IFERROR(__xludf.DUMMYFUNCTION("""COMPUTED_VALUE"""),"10.09.23")</f>
        <v>10.09.23</v>
      </c>
      <c r="G25" s="6">
        <f ca="1">IFERROR(__xludf.DUMMYFUNCTION("""COMPUTED_VALUE"""),97.2)</f>
        <v>97.2</v>
      </c>
      <c r="H25" s="6">
        <f ca="1">IFERROR(__xludf.DUMMYFUNCTION("""COMPUTED_VALUE"""),103.2)</f>
        <v>103.2</v>
      </c>
      <c r="I25" s="6">
        <f ca="1">IFERROR(__xludf.DUMMYFUNCTION("""COMPUTED_VALUE"""),100.9)</f>
        <v>100.9</v>
      </c>
      <c r="J25" s="6"/>
      <c r="K25" s="6"/>
      <c r="L25" s="6"/>
      <c r="M25" s="6">
        <f ca="1">IFERROR(__xludf.DUMMYFUNCTION("""COMPUTED_VALUE"""),301.3)</f>
        <v>301.3</v>
      </c>
      <c r="N25" s="6">
        <f ca="1">IFERROR(__xludf.DUMMYFUNCTION("""COMPUTED_VALUE"""),301.3)</f>
        <v>301.3</v>
      </c>
    </row>
    <row r="26" spans="1:14" ht="12.75">
      <c r="A26" s="6" t="str">
        <f ca="1">IFERROR(__xludf.DUMMYFUNCTION("""COMPUTED_VALUE"""),"Jegor Jakovlev")</f>
        <v>Jegor Jakovlev</v>
      </c>
      <c r="B26" s="6" t="str">
        <f ca="1">IFERROR(__xludf.DUMMYFUNCTION("""COMPUTED_VALUE"""),"Alutaguse")</f>
        <v>Alutaguse</v>
      </c>
      <c r="C26" s="6" t="str">
        <f ca="1">IFERROR(__xludf.DUMMYFUNCTION("""COMPUTED_VALUE"""),"MJ")</f>
        <v>MJ</v>
      </c>
      <c r="D26" s="6" t="str">
        <f ca="1">IFERROR(__xludf.DUMMYFUNCTION("""COMPUTED_VALUE"""),"50m lamades H7")</f>
        <v>50m lamades H7</v>
      </c>
      <c r="E26" s="6" t="str">
        <f ca="1">IFERROR(__xludf.DUMMYFUNCTION("""COMPUTED_VALUE"""),"Võistkond")</f>
        <v>Võistkond</v>
      </c>
      <c r="F26" s="6" t="str">
        <f ca="1">IFERROR(__xludf.DUMMYFUNCTION("""COMPUTED_VALUE"""),"09.09.23")</f>
        <v>09.09.23</v>
      </c>
      <c r="G26" s="6">
        <f ca="1">IFERROR(__xludf.DUMMYFUNCTION("""COMPUTED_VALUE"""),100.8)</f>
        <v>100.8</v>
      </c>
      <c r="H26" s="6">
        <f ca="1">IFERROR(__xludf.DUMMYFUNCTION("""COMPUTED_VALUE"""),97.2)</f>
        <v>97.2</v>
      </c>
      <c r="I26" s="6">
        <f ca="1">IFERROR(__xludf.DUMMYFUNCTION("""COMPUTED_VALUE"""),102.6)</f>
        <v>102.6</v>
      </c>
      <c r="J26" s="6"/>
      <c r="K26" s="6"/>
      <c r="L26" s="6"/>
      <c r="M26" s="6">
        <f ca="1">IFERROR(__xludf.DUMMYFUNCTION("""COMPUTED_VALUE"""),300.6)</f>
        <v>300.60000000000002</v>
      </c>
      <c r="N26" s="6">
        <f ca="1">IFERROR(__xludf.DUMMYFUNCTION("""COMPUTED_VALUE"""),300.6)</f>
        <v>300.60000000000002</v>
      </c>
    </row>
    <row r="27" spans="1:14" ht="12.75">
      <c r="A27" s="6" t="str">
        <f ca="1">IFERROR(__xludf.DUMMYFUNCTION("""COMPUTED_VALUE"""),"Pilleriin Vaarik")</f>
        <v>Pilleriin Vaarik</v>
      </c>
      <c r="B27" s="6" t="str">
        <f ca="1">IFERROR(__xludf.DUMMYFUNCTION("""COMPUTED_VALUE"""),"Viru")</f>
        <v>Viru</v>
      </c>
      <c r="C27" s="6" t="str">
        <f ca="1">IFERROR(__xludf.DUMMYFUNCTION("""COMPUTED_VALUE"""),"NJ")</f>
        <v>NJ</v>
      </c>
      <c r="D27" s="6" t="str">
        <f ca="1">IFERROR(__xludf.DUMMYFUNCTION("""COMPUTED_VALUE"""),"50m lamades H7")</f>
        <v>50m lamades H7</v>
      </c>
      <c r="E27" s="6" t="str">
        <f ca="1">IFERROR(__xludf.DUMMYFUNCTION("""COMPUTED_VALUE"""),"Individuaalne")</f>
        <v>Individuaalne</v>
      </c>
      <c r="F27" s="6" t="str">
        <f ca="1">IFERROR(__xludf.DUMMYFUNCTION("""COMPUTED_VALUE"""),"10.09.23")</f>
        <v>10.09.23</v>
      </c>
      <c r="G27" s="6">
        <f ca="1">IFERROR(__xludf.DUMMYFUNCTION("""COMPUTED_VALUE"""),99.7)</f>
        <v>99.7</v>
      </c>
      <c r="H27" s="6">
        <f ca="1">IFERROR(__xludf.DUMMYFUNCTION("""COMPUTED_VALUE"""),99.1)</f>
        <v>99.1</v>
      </c>
      <c r="I27" s="6">
        <f ca="1">IFERROR(__xludf.DUMMYFUNCTION("""COMPUTED_VALUE"""),100.9)</f>
        <v>100.9</v>
      </c>
      <c r="J27" s="6"/>
      <c r="K27" s="6"/>
      <c r="L27" s="6"/>
      <c r="M27" s="6">
        <f ca="1">IFERROR(__xludf.DUMMYFUNCTION("""COMPUTED_VALUE"""),299.7)</f>
        <v>299.7</v>
      </c>
      <c r="N27" s="6"/>
    </row>
    <row r="28" spans="1:14" ht="12.75">
      <c r="A28" s="6" t="str">
        <f ca="1">IFERROR(__xludf.DUMMYFUNCTION("""COMPUTED_VALUE"""),"Chrissy Padar")</f>
        <v>Chrissy Padar</v>
      </c>
      <c r="B28" s="6" t="str">
        <f ca="1">IFERROR(__xludf.DUMMYFUNCTION("""COMPUTED_VALUE"""),"Tartu")</f>
        <v>Tartu</v>
      </c>
      <c r="C28" s="6" t="str">
        <f ca="1">IFERROR(__xludf.DUMMYFUNCTION("""COMPUTED_VALUE"""),"T")</f>
        <v>T</v>
      </c>
      <c r="D28" s="6" t="str">
        <f ca="1">IFERROR(__xludf.DUMMYFUNCTION("""COMPUTED_VALUE"""),"50m lamades H7")</f>
        <v>50m lamades H7</v>
      </c>
      <c r="E28" s="6" t="str">
        <f ca="1">IFERROR(__xludf.DUMMYFUNCTION("""COMPUTED_VALUE"""),"Võistkond")</f>
        <v>Võistkond</v>
      </c>
      <c r="F28" s="6" t="str">
        <f ca="1">IFERROR(__xludf.DUMMYFUNCTION("""COMPUTED_VALUE"""),"10.09.23")</f>
        <v>10.09.23</v>
      </c>
      <c r="G28" s="6">
        <f ca="1">IFERROR(__xludf.DUMMYFUNCTION("""COMPUTED_VALUE"""),99.5)</f>
        <v>99.5</v>
      </c>
      <c r="H28" s="6">
        <f ca="1">IFERROR(__xludf.DUMMYFUNCTION("""COMPUTED_VALUE"""),97.7)</f>
        <v>97.7</v>
      </c>
      <c r="I28" s="6">
        <f ca="1">IFERROR(__xludf.DUMMYFUNCTION("""COMPUTED_VALUE"""),102.2)</f>
        <v>102.2</v>
      </c>
      <c r="J28" s="6"/>
      <c r="K28" s="6"/>
      <c r="L28" s="6"/>
      <c r="M28" s="6">
        <f ca="1">IFERROR(__xludf.DUMMYFUNCTION("""COMPUTED_VALUE"""),299.4)</f>
        <v>299.39999999999998</v>
      </c>
      <c r="N28" s="6">
        <f ca="1">IFERROR(__xludf.DUMMYFUNCTION("""COMPUTED_VALUE"""),299.4)</f>
        <v>299.39999999999998</v>
      </c>
    </row>
    <row r="29" spans="1:14" ht="12.75">
      <c r="A29" s="6" t="str">
        <f ca="1">IFERROR(__xludf.DUMMYFUNCTION("""COMPUTED_VALUE"""),"Kaisa Sikk")</f>
        <v>Kaisa Sikk</v>
      </c>
      <c r="B29" s="6" t="str">
        <f ca="1">IFERROR(__xludf.DUMMYFUNCTION("""COMPUTED_VALUE"""),"Võrumaa")</f>
        <v>Võrumaa</v>
      </c>
      <c r="C29" s="6" t="str">
        <f ca="1">IFERROR(__xludf.DUMMYFUNCTION("""COMPUTED_VALUE"""),"N")</f>
        <v>N</v>
      </c>
      <c r="D29" s="6" t="str">
        <f ca="1">IFERROR(__xludf.DUMMYFUNCTION("""COMPUTED_VALUE"""),"50m lamades H7")</f>
        <v>50m lamades H7</v>
      </c>
      <c r="E29" s="6" t="str">
        <f ca="1">IFERROR(__xludf.DUMMYFUNCTION("""COMPUTED_VALUE"""),"Võistkond")</f>
        <v>Võistkond</v>
      </c>
      <c r="F29" s="6" t="str">
        <f ca="1">IFERROR(__xludf.DUMMYFUNCTION("""COMPUTED_VALUE"""),"10.09.23")</f>
        <v>10.09.23</v>
      </c>
      <c r="G29" s="6">
        <f ca="1">IFERROR(__xludf.DUMMYFUNCTION("""COMPUTED_VALUE"""),101.8)</f>
        <v>101.8</v>
      </c>
      <c r="H29" s="6">
        <f ca="1">IFERROR(__xludf.DUMMYFUNCTION("""COMPUTED_VALUE"""),95.1)</f>
        <v>95.1</v>
      </c>
      <c r="I29" s="6">
        <f ca="1">IFERROR(__xludf.DUMMYFUNCTION("""COMPUTED_VALUE"""),102.3)</f>
        <v>102.3</v>
      </c>
      <c r="J29" s="6"/>
      <c r="K29" s="6"/>
      <c r="L29" s="6"/>
      <c r="M29" s="6">
        <f ca="1">IFERROR(__xludf.DUMMYFUNCTION("""COMPUTED_VALUE"""),299.2)</f>
        <v>299.2</v>
      </c>
      <c r="N29" s="6">
        <f ca="1">IFERROR(__xludf.DUMMYFUNCTION("""COMPUTED_VALUE"""),299.2)</f>
        <v>299.2</v>
      </c>
    </row>
    <row r="30" spans="1:14" ht="12.75">
      <c r="A30" s="6" t="str">
        <f ca="1">IFERROR(__xludf.DUMMYFUNCTION("""COMPUTED_VALUE"""),"Marta Pauliine Mihkelson")</f>
        <v>Marta Pauliine Mihkelson</v>
      </c>
      <c r="B30" s="6" t="str">
        <f ca="1">IFERROR(__xludf.DUMMYFUNCTION("""COMPUTED_VALUE"""),"Pärnumaa")</f>
        <v>Pärnumaa</v>
      </c>
      <c r="C30" s="6" t="str">
        <f ca="1">IFERROR(__xludf.DUMMYFUNCTION("""COMPUTED_VALUE"""),"NJ")</f>
        <v>NJ</v>
      </c>
      <c r="D30" s="6" t="str">
        <f ca="1">IFERROR(__xludf.DUMMYFUNCTION("""COMPUTED_VALUE"""),"50m lamades H7")</f>
        <v>50m lamades H7</v>
      </c>
      <c r="E30" s="6" t="str">
        <f ca="1">IFERROR(__xludf.DUMMYFUNCTION("""COMPUTED_VALUE"""),"Võistkond")</f>
        <v>Võistkond</v>
      </c>
      <c r="F30" s="6" t="str">
        <f ca="1">IFERROR(__xludf.DUMMYFUNCTION("""COMPUTED_VALUE"""),"09.09.23")</f>
        <v>09.09.23</v>
      </c>
      <c r="G30" s="6">
        <f ca="1">IFERROR(__xludf.DUMMYFUNCTION("""COMPUTED_VALUE"""),100.2)</f>
        <v>100.2</v>
      </c>
      <c r="H30" s="6">
        <f ca="1">IFERROR(__xludf.DUMMYFUNCTION("""COMPUTED_VALUE"""),100.4)</f>
        <v>100.4</v>
      </c>
      <c r="I30" s="6">
        <f ca="1">IFERROR(__xludf.DUMMYFUNCTION("""COMPUTED_VALUE"""),98.6)</f>
        <v>98.6</v>
      </c>
      <c r="J30" s="6"/>
      <c r="K30" s="6"/>
      <c r="L30" s="6"/>
      <c r="M30" s="6">
        <f ca="1">IFERROR(__xludf.DUMMYFUNCTION("""COMPUTED_VALUE"""),299.2)</f>
        <v>299.2</v>
      </c>
      <c r="N30" s="6">
        <f ca="1">IFERROR(__xludf.DUMMYFUNCTION("""COMPUTED_VALUE"""),299.2)</f>
        <v>299.2</v>
      </c>
    </row>
    <row r="31" spans="1:14" ht="12.75">
      <c r="A31" s="6" t="str">
        <f ca="1">IFERROR(__xludf.DUMMYFUNCTION("""COMPUTED_VALUE"""),"Annika Sarna")</f>
        <v>Annika Sarna</v>
      </c>
      <c r="B31" s="6" t="str">
        <f ca="1">IFERROR(__xludf.DUMMYFUNCTION("""COMPUTED_VALUE"""),"Harju")</f>
        <v>Harju</v>
      </c>
      <c r="C31" s="6" t="str">
        <f ca="1">IFERROR(__xludf.DUMMYFUNCTION("""COMPUTED_VALUE"""),"NJ")</f>
        <v>NJ</v>
      </c>
      <c r="D31" s="6" t="str">
        <f ca="1">IFERROR(__xludf.DUMMYFUNCTION("""COMPUTED_VALUE"""),"50m lamades H7")</f>
        <v>50m lamades H7</v>
      </c>
      <c r="E31" s="6" t="str">
        <f ca="1">IFERROR(__xludf.DUMMYFUNCTION("""COMPUTED_VALUE"""),"Võistkond")</f>
        <v>Võistkond</v>
      </c>
      <c r="F31" s="6" t="str">
        <f ca="1">IFERROR(__xludf.DUMMYFUNCTION("""COMPUTED_VALUE"""),"10.09.23")</f>
        <v>10.09.23</v>
      </c>
      <c r="G31" s="6">
        <f ca="1">IFERROR(__xludf.DUMMYFUNCTION("""COMPUTED_VALUE"""),103.5)</f>
        <v>103.5</v>
      </c>
      <c r="H31" s="6">
        <f ca="1">IFERROR(__xludf.DUMMYFUNCTION("""COMPUTED_VALUE"""),99.2)</f>
        <v>99.2</v>
      </c>
      <c r="I31" s="6">
        <f ca="1">IFERROR(__xludf.DUMMYFUNCTION("""COMPUTED_VALUE"""),95.4)</f>
        <v>95.4</v>
      </c>
      <c r="J31" s="6"/>
      <c r="K31" s="6"/>
      <c r="L31" s="6"/>
      <c r="M31" s="6">
        <f ca="1">IFERROR(__xludf.DUMMYFUNCTION("""COMPUTED_VALUE"""),298.1)</f>
        <v>298.10000000000002</v>
      </c>
      <c r="N31" s="6">
        <f ca="1">IFERROR(__xludf.DUMMYFUNCTION("""COMPUTED_VALUE"""),298.1)</f>
        <v>298.10000000000002</v>
      </c>
    </row>
    <row r="32" spans="1:14" ht="12.75">
      <c r="A32" s="6" t="str">
        <f ca="1">IFERROR(__xludf.DUMMYFUNCTION("""COMPUTED_VALUE"""),"Markko Kirsti")</f>
        <v>Markko Kirsti</v>
      </c>
      <c r="B32" s="6" t="str">
        <f ca="1">IFERROR(__xludf.DUMMYFUNCTION("""COMPUTED_VALUE"""),"Sakala")</f>
        <v>Sakala</v>
      </c>
      <c r="C32" s="6" t="str">
        <f ca="1">IFERROR(__xludf.DUMMYFUNCTION("""COMPUTED_VALUE"""),"N")</f>
        <v>N</v>
      </c>
      <c r="D32" s="6" t="str">
        <f ca="1">IFERROR(__xludf.DUMMYFUNCTION("""COMPUTED_VALUE"""),"50m lamades H7")</f>
        <v>50m lamades H7</v>
      </c>
      <c r="E32" s="6" t="str">
        <f ca="1">IFERROR(__xludf.DUMMYFUNCTION("""COMPUTED_VALUE"""),"Võistkond")</f>
        <v>Võistkond</v>
      </c>
      <c r="F32" s="6" t="str">
        <f ca="1">IFERROR(__xludf.DUMMYFUNCTION("""COMPUTED_VALUE"""),"10.09.23")</f>
        <v>10.09.23</v>
      </c>
      <c r="G32" s="6">
        <f ca="1">IFERROR(__xludf.DUMMYFUNCTION("""COMPUTED_VALUE"""),98.6)</f>
        <v>98.6</v>
      </c>
      <c r="H32" s="6">
        <f ca="1">IFERROR(__xludf.DUMMYFUNCTION("""COMPUTED_VALUE"""),99.2)</f>
        <v>99.2</v>
      </c>
      <c r="I32" s="6">
        <f ca="1">IFERROR(__xludf.DUMMYFUNCTION("""COMPUTED_VALUE"""),99.4)</f>
        <v>99.4</v>
      </c>
      <c r="J32" s="6"/>
      <c r="K32" s="6"/>
      <c r="L32" s="6"/>
      <c r="M32" s="6">
        <f ca="1">IFERROR(__xludf.DUMMYFUNCTION("""COMPUTED_VALUE"""),297.2)</f>
        <v>297.2</v>
      </c>
      <c r="N32" s="6">
        <f ca="1">IFERROR(__xludf.DUMMYFUNCTION("""COMPUTED_VALUE"""),297.2)</f>
        <v>297.2</v>
      </c>
    </row>
    <row r="33" spans="1:14" ht="12.75">
      <c r="A33" s="6" t="str">
        <f ca="1">IFERROR(__xludf.DUMMYFUNCTION("""COMPUTED_VALUE"""),"Meribel Männik")</f>
        <v>Meribel Männik</v>
      </c>
      <c r="B33" s="6" t="str">
        <f ca="1">IFERROR(__xludf.DUMMYFUNCTION("""COMPUTED_VALUE"""),"Viru")</f>
        <v>Viru</v>
      </c>
      <c r="C33" s="6" t="str">
        <f ca="1">IFERROR(__xludf.DUMMYFUNCTION("""COMPUTED_VALUE"""),"NJ")</f>
        <v>NJ</v>
      </c>
      <c r="D33" s="6" t="str">
        <f ca="1">IFERROR(__xludf.DUMMYFUNCTION("""COMPUTED_VALUE"""),"50m lamades H7")</f>
        <v>50m lamades H7</v>
      </c>
      <c r="E33" s="6" t="str">
        <f ca="1">IFERROR(__xludf.DUMMYFUNCTION("""COMPUTED_VALUE"""),"Võistkond")</f>
        <v>Võistkond</v>
      </c>
      <c r="F33" s="6" t="str">
        <f ca="1">IFERROR(__xludf.DUMMYFUNCTION("""COMPUTED_VALUE"""),"10.09.23")</f>
        <v>10.09.23</v>
      </c>
      <c r="G33" s="6">
        <f ca="1">IFERROR(__xludf.DUMMYFUNCTION("""COMPUTED_VALUE"""),98.4)</f>
        <v>98.4</v>
      </c>
      <c r="H33" s="6">
        <f ca="1">IFERROR(__xludf.DUMMYFUNCTION("""COMPUTED_VALUE"""),96)</f>
        <v>96</v>
      </c>
      <c r="I33" s="6">
        <f ca="1">IFERROR(__xludf.DUMMYFUNCTION("""COMPUTED_VALUE"""),102.6)</f>
        <v>102.6</v>
      </c>
      <c r="J33" s="6"/>
      <c r="K33" s="6"/>
      <c r="L33" s="6"/>
      <c r="M33" s="6">
        <f ca="1">IFERROR(__xludf.DUMMYFUNCTION("""COMPUTED_VALUE"""),297)</f>
        <v>297</v>
      </c>
      <c r="N33" s="6">
        <f ca="1">IFERROR(__xludf.DUMMYFUNCTION("""COMPUTED_VALUE"""),297)</f>
        <v>297</v>
      </c>
    </row>
    <row r="34" spans="1:14" ht="12.75">
      <c r="A34" s="6" t="str">
        <f ca="1">IFERROR(__xludf.DUMMYFUNCTION("""COMPUTED_VALUE"""),"Andri Männe")</f>
        <v>Andri Männe</v>
      </c>
      <c r="B34" s="6" t="str">
        <f ca="1">IFERROR(__xludf.DUMMYFUNCTION("""COMPUTED_VALUE"""),"Alutaguse")</f>
        <v>Alutaguse</v>
      </c>
      <c r="C34" s="6" t="str">
        <f ca="1">IFERROR(__xludf.DUMMYFUNCTION("""COMPUTED_VALUE"""),"MJ")</f>
        <v>MJ</v>
      </c>
      <c r="D34" s="6" t="str">
        <f ca="1">IFERROR(__xludf.DUMMYFUNCTION("""COMPUTED_VALUE"""),"50m lamades H7")</f>
        <v>50m lamades H7</v>
      </c>
      <c r="E34" s="6" t="str">
        <f ca="1">IFERROR(__xludf.DUMMYFUNCTION("""COMPUTED_VALUE"""),"Individuaalne")</f>
        <v>Individuaalne</v>
      </c>
      <c r="F34" s="6" t="str">
        <f ca="1">IFERROR(__xludf.DUMMYFUNCTION("""COMPUTED_VALUE"""),"09.09.23")</f>
        <v>09.09.23</v>
      </c>
      <c r="G34" s="6">
        <f ca="1">IFERROR(__xludf.DUMMYFUNCTION("""COMPUTED_VALUE"""),97.5)</f>
        <v>97.5</v>
      </c>
      <c r="H34" s="6">
        <f ca="1">IFERROR(__xludf.DUMMYFUNCTION("""COMPUTED_VALUE"""),98.3)</f>
        <v>98.3</v>
      </c>
      <c r="I34" s="6">
        <f ca="1">IFERROR(__xludf.DUMMYFUNCTION("""COMPUTED_VALUE"""),99.7)</f>
        <v>99.7</v>
      </c>
      <c r="J34" s="6"/>
      <c r="K34" s="6"/>
      <c r="L34" s="6"/>
      <c r="M34" s="6">
        <f ca="1">IFERROR(__xludf.DUMMYFUNCTION("""COMPUTED_VALUE"""),295.5)</f>
        <v>295.5</v>
      </c>
      <c r="N34" s="6"/>
    </row>
    <row r="35" spans="1:14" ht="12.75">
      <c r="A35" s="6" t="str">
        <f ca="1">IFERROR(__xludf.DUMMYFUNCTION("""COMPUTED_VALUE"""),"Daimar Liiv")</f>
        <v>Daimar Liiv</v>
      </c>
      <c r="B35" s="6" t="str">
        <f ca="1">IFERROR(__xludf.DUMMYFUNCTION("""COMPUTED_VALUE"""),"KKÜ")</f>
        <v>KKÜ</v>
      </c>
      <c r="C35" s="6" t="str">
        <f ca="1">IFERROR(__xludf.DUMMYFUNCTION("""COMPUTED_VALUE"""),"M")</f>
        <v>M</v>
      </c>
      <c r="D35" s="6" t="str">
        <f ca="1">IFERROR(__xludf.DUMMYFUNCTION("""COMPUTED_VALUE"""),"50m lamades H7")</f>
        <v>50m lamades H7</v>
      </c>
      <c r="E35" s="6" t="str">
        <f ca="1">IFERROR(__xludf.DUMMYFUNCTION("""COMPUTED_VALUE"""),"Võistkond")</f>
        <v>Võistkond</v>
      </c>
      <c r="F35" s="6" t="str">
        <f ca="1">IFERROR(__xludf.DUMMYFUNCTION("""COMPUTED_VALUE"""),"09.09.23")</f>
        <v>09.09.23</v>
      </c>
      <c r="G35" s="6">
        <f ca="1">IFERROR(__xludf.DUMMYFUNCTION("""COMPUTED_VALUE"""),97.9)</f>
        <v>97.9</v>
      </c>
      <c r="H35" s="6">
        <f ca="1">IFERROR(__xludf.DUMMYFUNCTION("""COMPUTED_VALUE"""),98.4)</f>
        <v>98.4</v>
      </c>
      <c r="I35" s="6">
        <f ca="1">IFERROR(__xludf.DUMMYFUNCTION("""COMPUTED_VALUE"""),99.1)</f>
        <v>99.1</v>
      </c>
      <c r="J35" s="6"/>
      <c r="K35" s="6"/>
      <c r="L35" s="6"/>
      <c r="M35" s="6">
        <f ca="1">IFERROR(__xludf.DUMMYFUNCTION("""COMPUTED_VALUE"""),295.4)</f>
        <v>295.39999999999998</v>
      </c>
      <c r="N35" s="6">
        <f ca="1">IFERROR(__xludf.DUMMYFUNCTION("""COMPUTED_VALUE"""),295.4)</f>
        <v>295.39999999999998</v>
      </c>
    </row>
    <row r="36" spans="1:14" ht="12.75">
      <c r="A36" s="6" t="str">
        <f ca="1">IFERROR(__xludf.DUMMYFUNCTION("""COMPUTED_VALUE"""),"Urmas Siir")</f>
        <v>Urmas Siir</v>
      </c>
      <c r="B36" s="6" t="str">
        <f ca="1">IFERROR(__xludf.DUMMYFUNCTION("""COMPUTED_VALUE"""),"Tallinn")</f>
        <v>Tallinn</v>
      </c>
      <c r="C36" s="6" t="str">
        <f ca="1">IFERROR(__xludf.DUMMYFUNCTION("""COMPUTED_VALUE"""),"P")</f>
        <v>P</v>
      </c>
      <c r="D36" s="6" t="str">
        <f ca="1">IFERROR(__xludf.DUMMYFUNCTION("""COMPUTED_VALUE"""),"50m lamades H7")</f>
        <v>50m lamades H7</v>
      </c>
      <c r="E36" s="6" t="str">
        <f ca="1">IFERROR(__xludf.DUMMYFUNCTION("""COMPUTED_VALUE"""),"Võistkond")</f>
        <v>Võistkond</v>
      </c>
      <c r="F36" s="6" t="str">
        <f ca="1">IFERROR(__xludf.DUMMYFUNCTION("""COMPUTED_VALUE"""),"09.09.23")</f>
        <v>09.09.23</v>
      </c>
      <c r="G36" s="6">
        <f ca="1">IFERROR(__xludf.DUMMYFUNCTION("""COMPUTED_VALUE"""),99.6)</f>
        <v>99.6</v>
      </c>
      <c r="H36" s="6">
        <f ca="1">IFERROR(__xludf.DUMMYFUNCTION("""COMPUTED_VALUE"""),98)</f>
        <v>98</v>
      </c>
      <c r="I36" s="6">
        <f ca="1">IFERROR(__xludf.DUMMYFUNCTION("""COMPUTED_VALUE"""),97.6)</f>
        <v>97.6</v>
      </c>
      <c r="J36" s="6"/>
      <c r="K36" s="6"/>
      <c r="L36" s="6"/>
      <c r="M36" s="6">
        <f ca="1">IFERROR(__xludf.DUMMYFUNCTION("""COMPUTED_VALUE"""),295.2)</f>
        <v>295.2</v>
      </c>
      <c r="N36" s="6">
        <f ca="1">IFERROR(__xludf.DUMMYFUNCTION("""COMPUTED_VALUE"""),295.2)</f>
        <v>295.2</v>
      </c>
    </row>
    <row r="37" spans="1:14" ht="12.75">
      <c r="A37" s="6" t="str">
        <f ca="1">IFERROR(__xludf.DUMMYFUNCTION("""COMPUTED_VALUE"""),"Riho Ühtegi")</f>
        <v>Riho Ühtegi</v>
      </c>
      <c r="B37" s="6" t="str">
        <f ca="1">IFERROR(__xludf.DUMMYFUNCTION("""COMPUTED_VALUE"""),"KL peastaap")</f>
        <v>KL peastaap</v>
      </c>
      <c r="C37" s="6" t="str">
        <f ca="1">IFERROR(__xludf.DUMMYFUNCTION("""COMPUTED_VALUE"""),"M")</f>
        <v>M</v>
      </c>
      <c r="D37" s="6" t="str">
        <f ca="1">IFERROR(__xludf.DUMMYFUNCTION("""COMPUTED_VALUE"""),"50m lamades H7")</f>
        <v>50m lamades H7</v>
      </c>
      <c r="E37" s="6" t="str">
        <f ca="1">IFERROR(__xludf.DUMMYFUNCTION("""COMPUTED_VALUE"""),"Individuaalne")</f>
        <v>Individuaalne</v>
      </c>
      <c r="F37" s="6" t="str">
        <f ca="1">IFERROR(__xludf.DUMMYFUNCTION("""COMPUTED_VALUE"""),"09.09.23")</f>
        <v>09.09.23</v>
      </c>
      <c r="G37" s="6">
        <f ca="1">IFERROR(__xludf.DUMMYFUNCTION("""COMPUTED_VALUE"""),98.1)</f>
        <v>98.1</v>
      </c>
      <c r="H37" s="6">
        <f ca="1">IFERROR(__xludf.DUMMYFUNCTION("""COMPUTED_VALUE"""),98.9)</f>
        <v>98.9</v>
      </c>
      <c r="I37" s="6">
        <f ca="1">IFERROR(__xludf.DUMMYFUNCTION("""COMPUTED_VALUE"""),97.9)</f>
        <v>97.9</v>
      </c>
      <c r="J37" s="6"/>
      <c r="K37" s="6"/>
      <c r="L37" s="6"/>
      <c r="M37" s="6">
        <f ca="1">IFERROR(__xludf.DUMMYFUNCTION("""COMPUTED_VALUE"""),294.9)</f>
        <v>294.89999999999998</v>
      </c>
      <c r="N37" s="6"/>
    </row>
    <row r="38" spans="1:14" ht="12.75">
      <c r="A38" s="6" t="str">
        <f ca="1">IFERROR(__xludf.DUMMYFUNCTION("""COMPUTED_VALUE"""),"Kermo Rea")</f>
        <v>Kermo Rea</v>
      </c>
      <c r="B38" s="6" t="str">
        <f ca="1">IFERROR(__xludf.DUMMYFUNCTION("""COMPUTED_VALUE"""),"Harju")</f>
        <v>Harju</v>
      </c>
      <c r="C38" s="6" t="str">
        <f ca="1">IFERROR(__xludf.DUMMYFUNCTION("""COMPUTED_VALUE"""),"MJ")</f>
        <v>MJ</v>
      </c>
      <c r="D38" s="6" t="str">
        <f ca="1">IFERROR(__xludf.DUMMYFUNCTION("""COMPUTED_VALUE"""),"50m lamades H7")</f>
        <v>50m lamades H7</v>
      </c>
      <c r="E38" s="6" t="str">
        <f ca="1">IFERROR(__xludf.DUMMYFUNCTION("""COMPUTED_VALUE"""),"Võistkond")</f>
        <v>Võistkond</v>
      </c>
      <c r="F38" s="6" t="str">
        <f ca="1">IFERROR(__xludf.DUMMYFUNCTION("""COMPUTED_VALUE"""),"10.09.23")</f>
        <v>10.09.23</v>
      </c>
      <c r="G38" s="6">
        <f ca="1">IFERROR(__xludf.DUMMYFUNCTION("""COMPUTED_VALUE"""),95.9)</f>
        <v>95.9</v>
      </c>
      <c r="H38" s="6">
        <f ca="1">IFERROR(__xludf.DUMMYFUNCTION("""COMPUTED_VALUE"""),100.9)</f>
        <v>100.9</v>
      </c>
      <c r="I38" s="6">
        <f ca="1">IFERROR(__xludf.DUMMYFUNCTION("""COMPUTED_VALUE"""),97)</f>
        <v>97</v>
      </c>
      <c r="J38" s="6"/>
      <c r="K38" s="6"/>
      <c r="L38" s="6"/>
      <c r="M38" s="6">
        <f ca="1">IFERROR(__xludf.DUMMYFUNCTION("""COMPUTED_VALUE"""),293.8)</f>
        <v>293.8</v>
      </c>
      <c r="N38" s="6">
        <f ca="1">IFERROR(__xludf.DUMMYFUNCTION("""COMPUTED_VALUE"""),293.8)</f>
        <v>293.8</v>
      </c>
    </row>
    <row r="39" spans="1:14" ht="12.75">
      <c r="A39" s="6" t="str">
        <f ca="1">IFERROR(__xludf.DUMMYFUNCTION("""COMPUTED_VALUE"""),"Kaspar Viiron")</f>
        <v>Kaspar Viiron</v>
      </c>
      <c r="B39" s="6" t="str">
        <f ca="1">IFERROR(__xludf.DUMMYFUNCTION("""COMPUTED_VALUE"""),"Rapla")</f>
        <v>Rapla</v>
      </c>
      <c r="C39" s="6" t="str">
        <f ca="1">IFERROR(__xludf.DUMMYFUNCTION("""COMPUTED_VALUE"""),"M")</f>
        <v>M</v>
      </c>
      <c r="D39" s="6" t="str">
        <f ca="1">IFERROR(__xludf.DUMMYFUNCTION("""COMPUTED_VALUE"""),"50m lamades H7")</f>
        <v>50m lamades H7</v>
      </c>
      <c r="E39" s="6" t="str">
        <f ca="1">IFERROR(__xludf.DUMMYFUNCTION("""COMPUTED_VALUE"""),"Võistkond")</f>
        <v>Võistkond</v>
      </c>
      <c r="F39" s="6" t="str">
        <f ca="1">IFERROR(__xludf.DUMMYFUNCTION("""COMPUTED_VALUE"""),"10.09.23")</f>
        <v>10.09.23</v>
      </c>
      <c r="G39" s="6">
        <f ca="1">IFERROR(__xludf.DUMMYFUNCTION("""COMPUTED_VALUE"""),96.4)</f>
        <v>96.4</v>
      </c>
      <c r="H39" s="6">
        <f ca="1">IFERROR(__xludf.DUMMYFUNCTION("""COMPUTED_VALUE"""),97.7)</f>
        <v>97.7</v>
      </c>
      <c r="I39" s="6">
        <f ca="1">IFERROR(__xludf.DUMMYFUNCTION("""COMPUTED_VALUE"""),99.3)</f>
        <v>99.3</v>
      </c>
      <c r="J39" s="6"/>
      <c r="K39" s="6"/>
      <c r="L39" s="6"/>
      <c r="M39" s="6">
        <f ca="1">IFERROR(__xludf.DUMMYFUNCTION("""COMPUTED_VALUE"""),293.4)</f>
        <v>293.39999999999998</v>
      </c>
      <c r="N39" s="6">
        <f ca="1">IFERROR(__xludf.DUMMYFUNCTION("""COMPUTED_VALUE"""),293.4)</f>
        <v>293.39999999999998</v>
      </c>
    </row>
    <row r="40" spans="1:14" ht="12.75">
      <c r="A40" s="6" t="str">
        <f ca="1">IFERROR(__xludf.DUMMYFUNCTION("""COMPUTED_VALUE"""),"Piret Grossthal")</f>
        <v>Piret Grossthal</v>
      </c>
      <c r="B40" s="6" t="str">
        <f ca="1">IFERROR(__xludf.DUMMYFUNCTION("""COMPUTED_VALUE"""),"Harju")</f>
        <v>Harju</v>
      </c>
      <c r="C40" s="6" t="str">
        <f ca="1">IFERROR(__xludf.DUMMYFUNCTION("""COMPUTED_VALUE"""),"N")</f>
        <v>N</v>
      </c>
      <c r="D40" s="6" t="str">
        <f ca="1">IFERROR(__xludf.DUMMYFUNCTION("""COMPUTED_VALUE"""),"50m lamades H7")</f>
        <v>50m lamades H7</v>
      </c>
      <c r="E40" s="6" t="str">
        <f ca="1">IFERROR(__xludf.DUMMYFUNCTION("""COMPUTED_VALUE"""),"Võistkond")</f>
        <v>Võistkond</v>
      </c>
      <c r="F40" s="6" t="str">
        <f ca="1">IFERROR(__xludf.DUMMYFUNCTION("""COMPUTED_VALUE"""),"10.09.23")</f>
        <v>10.09.23</v>
      </c>
      <c r="G40" s="6">
        <f ca="1">IFERROR(__xludf.DUMMYFUNCTION("""COMPUTED_VALUE"""),101.1)</f>
        <v>101.1</v>
      </c>
      <c r="H40" s="6">
        <f ca="1">IFERROR(__xludf.DUMMYFUNCTION("""COMPUTED_VALUE"""),98)</f>
        <v>98</v>
      </c>
      <c r="I40" s="6">
        <f ca="1">IFERROR(__xludf.DUMMYFUNCTION("""COMPUTED_VALUE"""),94.2)</f>
        <v>94.2</v>
      </c>
      <c r="J40" s="6"/>
      <c r="K40" s="6"/>
      <c r="L40" s="6"/>
      <c r="M40" s="6">
        <f ca="1">IFERROR(__xludf.DUMMYFUNCTION("""COMPUTED_VALUE"""),293.3)</f>
        <v>293.3</v>
      </c>
      <c r="N40" s="6">
        <f ca="1">IFERROR(__xludf.DUMMYFUNCTION("""COMPUTED_VALUE"""),293.3)</f>
        <v>293.3</v>
      </c>
    </row>
    <row r="41" spans="1:14" ht="12.75">
      <c r="A41" s="6" t="str">
        <f ca="1">IFERROR(__xludf.DUMMYFUNCTION("""COMPUTED_VALUE"""),"Liisi Preedin")</f>
        <v>Liisi Preedin</v>
      </c>
      <c r="B41" s="6" t="str">
        <f ca="1">IFERROR(__xludf.DUMMYFUNCTION("""COMPUTED_VALUE"""),"Saaremaa")</f>
        <v>Saaremaa</v>
      </c>
      <c r="C41" s="6" t="str">
        <f ca="1">IFERROR(__xludf.DUMMYFUNCTION("""COMPUTED_VALUE"""),"N")</f>
        <v>N</v>
      </c>
      <c r="D41" s="6" t="str">
        <f ca="1">IFERROR(__xludf.DUMMYFUNCTION("""COMPUTED_VALUE"""),"50m lamades H7")</f>
        <v>50m lamades H7</v>
      </c>
      <c r="E41" s="6" t="str">
        <f ca="1">IFERROR(__xludf.DUMMYFUNCTION("""COMPUTED_VALUE"""),"Individuaalne")</f>
        <v>Individuaalne</v>
      </c>
      <c r="F41" s="6" t="str">
        <f ca="1">IFERROR(__xludf.DUMMYFUNCTION("""COMPUTED_VALUE"""),"09.09.23")</f>
        <v>09.09.23</v>
      </c>
      <c r="G41" s="6">
        <f ca="1">IFERROR(__xludf.DUMMYFUNCTION("""COMPUTED_VALUE"""),98.9)</f>
        <v>98.9</v>
      </c>
      <c r="H41" s="6">
        <f ca="1">IFERROR(__xludf.DUMMYFUNCTION("""COMPUTED_VALUE"""),96.3)</f>
        <v>96.3</v>
      </c>
      <c r="I41" s="6">
        <f ca="1">IFERROR(__xludf.DUMMYFUNCTION("""COMPUTED_VALUE"""),97.6)</f>
        <v>97.6</v>
      </c>
      <c r="J41" s="6"/>
      <c r="K41" s="6"/>
      <c r="L41" s="6"/>
      <c r="M41" s="6">
        <f ca="1">IFERROR(__xludf.DUMMYFUNCTION("""COMPUTED_VALUE"""),292.799999999999)</f>
        <v>292.79999999999899</v>
      </c>
      <c r="N41" s="6"/>
    </row>
    <row r="42" spans="1:14" ht="12.75">
      <c r="A42" s="6" t="str">
        <f ca="1">IFERROR(__xludf.DUMMYFUNCTION("""COMPUTED_VALUE"""),"Katrin Mirtel Tutt")</f>
        <v>Katrin Mirtel Tutt</v>
      </c>
      <c r="B42" s="6" t="str">
        <f ca="1">IFERROR(__xludf.DUMMYFUNCTION("""COMPUTED_VALUE"""),"Rapla")</f>
        <v>Rapla</v>
      </c>
      <c r="C42" s="6" t="str">
        <f ca="1">IFERROR(__xludf.DUMMYFUNCTION("""COMPUTED_VALUE"""),"NJ")</f>
        <v>NJ</v>
      </c>
      <c r="D42" s="6" t="str">
        <f ca="1">IFERROR(__xludf.DUMMYFUNCTION("""COMPUTED_VALUE"""),"50m lamades H7")</f>
        <v>50m lamades H7</v>
      </c>
      <c r="E42" s="6" t="str">
        <f ca="1">IFERROR(__xludf.DUMMYFUNCTION("""COMPUTED_VALUE"""),"Võistkond")</f>
        <v>Võistkond</v>
      </c>
      <c r="F42" s="6" t="str">
        <f ca="1">IFERROR(__xludf.DUMMYFUNCTION("""COMPUTED_VALUE"""),"10.09.23")</f>
        <v>10.09.23</v>
      </c>
      <c r="G42" s="6">
        <f ca="1">IFERROR(__xludf.DUMMYFUNCTION("""COMPUTED_VALUE"""),97.7)</f>
        <v>97.7</v>
      </c>
      <c r="H42" s="6">
        <f ca="1">IFERROR(__xludf.DUMMYFUNCTION("""COMPUTED_VALUE"""),97.7)</f>
        <v>97.7</v>
      </c>
      <c r="I42" s="6">
        <f ca="1">IFERROR(__xludf.DUMMYFUNCTION("""COMPUTED_VALUE"""),97.3)</f>
        <v>97.3</v>
      </c>
      <c r="J42" s="6"/>
      <c r="K42" s="6"/>
      <c r="L42" s="6"/>
      <c r="M42" s="6">
        <f ca="1">IFERROR(__xludf.DUMMYFUNCTION("""COMPUTED_VALUE"""),292.7)</f>
        <v>292.7</v>
      </c>
      <c r="N42" s="6">
        <f ca="1">IFERROR(__xludf.DUMMYFUNCTION("""COMPUTED_VALUE"""),292.7)</f>
        <v>292.7</v>
      </c>
    </row>
    <row r="43" spans="1:14" ht="12.75">
      <c r="A43" s="6" t="str">
        <f ca="1">IFERROR(__xludf.DUMMYFUNCTION("""COMPUTED_VALUE"""),"Aksel Alas")</f>
        <v>Aksel Alas</v>
      </c>
      <c r="B43" s="6" t="str">
        <f ca="1">IFERROR(__xludf.DUMMYFUNCTION("""COMPUTED_VALUE"""),"Sakala")</f>
        <v>Sakala</v>
      </c>
      <c r="C43" s="6" t="str">
        <f ca="1">IFERROR(__xludf.DUMMYFUNCTION("""COMPUTED_VALUE"""),"P")</f>
        <v>P</v>
      </c>
      <c r="D43" s="6" t="str">
        <f ca="1">IFERROR(__xludf.DUMMYFUNCTION("""COMPUTED_VALUE"""),"50m lamades H7")</f>
        <v>50m lamades H7</v>
      </c>
      <c r="E43" s="6" t="str">
        <f ca="1">IFERROR(__xludf.DUMMYFUNCTION("""COMPUTED_VALUE"""),"Võistkond")</f>
        <v>Võistkond</v>
      </c>
      <c r="F43" s="6" t="str">
        <f ca="1">IFERROR(__xludf.DUMMYFUNCTION("""COMPUTED_VALUE"""),"10.09.23")</f>
        <v>10.09.23</v>
      </c>
      <c r="G43" s="6">
        <f ca="1">IFERROR(__xludf.DUMMYFUNCTION("""COMPUTED_VALUE"""),100.5)</f>
        <v>100.5</v>
      </c>
      <c r="H43" s="6">
        <f ca="1">IFERROR(__xludf.DUMMYFUNCTION("""COMPUTED_VALUE"""),93.9)</f>
        <v>93.9</v>
      </c>
      <c r="I43" s="6">
        <f ca="1">IFERROR(__xludf.DUMMYFUNCTION("""COMPUTED_VALUE"""),97.3)</f>
        <v>97.3</v>
      </c>
      <c r="J43" s="6"/>
      <c r="K43" s="6"/>
      <c r="L43" s="6"/>
      <c r="M43" s="6">
        <f ca="1">IFERROR(__xludf.DUMMYFUNCTION("""COMPUTED_VALUE"""),291.7)</f>
        <v>291.7</v>
      </c>
      <c r="N43" s="6">
        <f ca="1">IFERROR(__xludf.DUMMYFUNCTION("""COMPUTED_VALUE"""),291.7)</f>
        <v>291.7</v>
      </c>
    </row>
    <row r="44" spans="1:14" ht="12.75">
      <c r="A44" s="6" t="str">
        <f ca="1">IFERROR(__xludf.DUMMYFUNCTION("""COMPUTED_VALUE"""),"Raimond Vahtra")</f>
        <v>Raimond Vahtra</v>
      </c>
      <c r="B44" s="6" t="str">
        <f ca="1">IFERROR(__xludf.DUMMYFUNCTION("""COMPUTED_VALUE"""),"Lääne")</f>
        <v>Lääne</v>
      </c>
      <c r="C44" s="6" t="str">
        <f ca="1">IFERROR(__xludf.DUMMYFUNCTION("""COMPUTED_VALUE"""),"P")</f>
        <v>P</v>
      </c>
      <c r="D44" s="6" t="str">
        <f ca="1">IFERROR(__xludf.DUMMYFUNCTION("""COMPUTED_VALUE"""),"50m lamades H7")</f>
        <v>50m lamades H7</v>
      </c>
      <c r="E44" s="6" t="str">
        <f ca="1">IFERROR(__xludf.DUMMYFUNCTION("""COMPUTED_VALUE"""),"Võistkond")</f>
        <v>Võistkond</v>
      </c>
      <c r="F44" s="6" t="str">
        <f ca="1">IFERROR(__xludf.DUMMYFUNCTION("""COMPUTED_VALUE"""),"10.09.23")</f>
        <v>10.09.23</v>
      </c>
      <c r="G44" s="6">
        <f ca="1">IFERROR(__xludf.DUMMYFUNCTION("""COMPUTED_VALUE"""),94.7)</f>
        <v>94.7</v>
      </c>
      <c r="H44" s="6">
        <f ca="1">IFERROR(__xludf.DUMMYFUNCTION("""COMPUTED_VALUE"""),95.7)</f>
        <v>95.7</v>
      </c>
      <c r="I44" s="6">
        <f ca="1">IFERROR(__xludf.DUMMYFUNCTION("""COMPUTED_VALUE"""),100.8)</f>
        <v>100.8</v>
      </c>
      <c r="J44" s="6"/>
      <c r="K44" s="6"/>
      <c r="L44" s="6"/>
      <c r="M44" s="6">
        <f ca="1">IFERROR(__xludf.DUMMYFUNCTION("""COMPUTED_VALUE"""),291.2)</f>
        <v>291.2</v>
      </c>
      <c r="N44" s="6">
        <f ca="1">IFERROR(__xludf.DUMMYFUNCTION("""COMPUTED_VALUE"""),291.2)</f>
        <v>291.2</v>
      </c>
    </row>
    <row r="45" spans="1:14" ht="12.75">
      <c r="A45" s="6" t="str">
        <f ca="1">IFERROR(__xludf.DUMMYFUNCTION("""COMPUTED_VALUE"""),"Lili-Marleen Tooming")</f>
        <v>Lili-Marleen Tooming</v>
      </c>
      <c r="B45" s="6" t="str">
        <f ca="1">IFERROR(__xludf.DUMMYFUNCTION("""COMPUTED_VALUE"""),"Lääne")</f>
        <v>Lääne</v>
      </c>
      <c r="C45" s="6" t="str">
        <f ca="1">IFERROR(__xludf.DUMMYFUNCTION("""COMPUTED_VALUE"""),"NJ")</f>
        <v>NJ</v>
      </c>
      <c r="D45" s="6" t="str">
        <f ca="1">IFERROR(__xludf.DUMMYFUNCTION("""COMPUTED_VALUE"""),"50m lamades H7")</f>
        <v>50m lamades H7</v>
      </c>
      <c r="E45" s="6" t="str">
        <f ca="1">IFERROR(__xludf.DUMMYFUNCTION("""COMPUTED_VALUE"""),"Individuaalne")</f>
        <v>Individuaalne</v>
      </c>
      <c r="F45" s="6" t="str">
        <f ca="1">IFERROR(__xludf.DUMMYFUNCTION("""COMPUTED_VALUE"""),"10.09.23")</f>
        <v>10.09.23</v>
      </c>
      <c r="G45" s="6">
        <f ca="1">IFERROR(__xludf.DUMMYFUNCTION("""COMPUTED_VALUE"""),97.6)</f>
        <v>97.6</v>
      </c>
      <c r="H45" s="6">
        <f ca="1">IFERROR(__xludf.DUMMYFUNCTION("""COMPUTED_VALUE"""),95)</f>
        <v>95</v>
      </c>
      <c r="I45" s="6">
        <f ca="1">IFERROR(__xludf.DUMMYFUNCTION("""COMPUTED_VALUE"""),98.2)</f>
        <v>98.2</v>
      </c>
      <c r="J45" s="6"/>
      <c r="K45" s="6"/>
      <c r="L45" s="6"/>
      <c r="M45" s="6">
        <f ca="1">IFERROR(__xludf.DUMMYFUNCTION("""COMPUTED_VALUE"""),290.8)</f>
        <v>290.8</v>
      </c>
      <c r="N45" s="6"/>
    </row>
    <row r="46" spans="1:14" ht="12.75">
      <c r="A46" s="6" t="str">
        <f ca="1">IFERROR(__xludf.DUMMYFUNCTION("""COMPUTED_VALUE"""),"Meelis Kask")</f>
        <v>Meelis Kask</v>
      </c>
      <c r="B46" s="6" t="str">
        <f ca="1">IFERROR(__xludf.DUMMYFUNCTION("""COMPUTED_VALUE"""),"Viru")</f>
        <v>Viru</v>
      </c>
      <c r="C46" s="6" t="str">
        <f ca="1">IFERROR(__xludf.DUMMYFUNCTION("""COMPUTED_VALUE"""),"M")</f>
        <v>M</v>
      </c>
      <c r="D46" s="6" t="str">
        <f ca="1">IFERROR(__xludf.DUMMYFUNCTION("""COMPUTED_VALUE"""),"50m lamades H7")</f>
        <v>50m lamades H7</v>
      </c>
      <c r="E46" s="6" t="str">
        <f ca="1">IFERROR(__xludf.DUMMYFUNCTION("""COMPUTED_VALUE"""),"Võistkond")</f>
        <v>Võistkond</v>
      </c>
      <c r="F46" s="6" t="str">
        <f ca="1">IFERROR(__xludf.DUMMYFUNCTION("""COMPUTED_VALUE"""),"10.09.23")</f>
        <v>10.09.23</v>
      </c>
      <c r="G46" s="6">
        <f ca="1">IFERROR(__xludf.DUMMYFUNCTION("""COMPUTED_VALUE"""),91.2)</f>
        <v>91.2</v>
      </c>
      <c r="H46" s="6">
        <f ca="1">IFERROR(__xludf.DUMMYFUNCTION("""COMPUTED_VALUE"""),97.7)</f>
        <v>97.7</v>
      </c>
      <c r="I46" s="6">
        <f ca="1">IFERROR(__xludf.DUMMYFUNCTION("""COMPUTED_VALUE"""),101.4)</f>
        <v>101.4</v>
      </c>
      <c r="J46" s="6"/>
      <c r="K46" s="6"/>
      <c r="L46" s="6"/>
      <c r="M46" s="6">
        <f ca="1">IFERROR(__xludf.DUMMYFUNCTION("""COMPUTED_VALUE"""),290.3)</f>
        <v>290.3</v>
      </c>
      <c r="N46" s="6">
        <f ca="1">IFERROR(__xludf.DUMMYFUNCTION("""COMPUTED_VALUE"""),290.3)</f>
        <v>290.3</v>
      </c>
    </row>
    <row r="47" spans="1:14" ht="12.75">
      <c r="A47" s="6" t="str">
        <f ca="1">IFERROR(__xludf.DUMMYFUNCTION("""COMPUTED_VALUE"""),"Kristiina Sammal")</f>
        <v>Kristiina Sammal</v>
      </c>
      <c r="B47" s="6" t="str">
        <f ca="1">IFERROR(__xludf.DUMMYFUNCTION("""COMPUTED_VALUE"""),"Tallinn")</f>
        <v>Tallinn</v>
      </c>
      <c r="C47" s="6" t="str">
        <f ca="1">IFERROR(__xludf.DUMMYFUNCTION("""COMPUTED_VALUE"""),"NJ")</f>
        <v>NJ</v>
      </c>
      <c r="D47" s="6" t="str">
        <f ca="1">IFERROR(__xludf.DUMMYFUNCTION("""COMPUTED_VALUE"""),"50m lamades H7")</f>
        <v>50m lamades H7</v>
      </c>
      <c r="E47" s="6" t="str">
        <f ca="1">IFERROR(__xludf.DUMMYFUNCTION("""COMPUTED_VALUE"""),"Võistkond")</f>
        <v>Võistkond</v>
      </c>
      <c r="F47" s="6" t="str">
        <f ca="1">IFERROR(__xludf.DUMMYFUNCTION("""COMPUTED_VALUE"""),"09.09.23")</f>
        <v>09.09.23</v>
      </c>
      <c r="G47" s="6">
        <f ca="1">IFERROR(__xludf.DUMMYFUNCTION("""COMPUTED_VALUE"""),96.4)</f>
        <v>96.4</v>
      </c>
      <c r="H47" s="6">
        <f ca="1">IFERROR(__xludf.DUMMYFUNCTION("""COMPUTED_VALUE"""),98.3)</f>
        <v>98.3</v>
      </c>
      <c r="I47" s="6">
        <f ca="1">IFERROR(__xludf.DUMMYFUNCTION("""COMPUTED_VALUE"""),95.6)</f>
        <v>95.6</v>
      </c>
      <c r="J47" s="6"/>
      <c r="K47" s="6"/>
      <c r="L47" s="6"/>
      <c r="M47" s="6">
        <f ca="1">IFERROR(__xludf.DUMMYFUNCTION("""COMPUTED_VALUE"""),290.299999999999)</f>
        <v>290.29999999999899</v>
      </c>
      <c r="N47" s="6">
        <f ca="1">IFERROR(__xludf.DUMMYFUNCTION("""COMPUTED_VALUE"""),290.299999999999)</f>
        <v>290.29999999999899</v>
      </c>
    </row>
    <row r="48" spans="1:14" ht="12.75">
      <c r="A48" s="6" t="str">
        <f ca="1">IFERROR(__xludf.DUMMYFUNCTION("""COMPUTED_VALUE"""),"Kaspar Tühis")</f>
        <v>Kaspar Tühis</v>
      </c>
      <c r="B48" s="6" t="str">
        <f ca="1">IFERROR(__xludf.DUMMYFUNCTION("""COMPUTED_VALUE"""),"Põlva")</f>
        <v>Põlva</v>
      </c>
      <c r="C48" s="6" t="str">
        <f ca="1">IFERROR(__xludf.DUMMYFUNCTION("""COMPUTED_VALUE"""),"P")</f>
        <v>P</v>
      </c>
      <c r="D48" s="6" t="str">
        <f ca="1">IFERROR(__xludf.DUMMYFUNCTION("""COMPUTED_VALUE"""),"50m lamades H7")</f>
        <v>50m lamades H7</v>
      </c>
      <c r="E48" s="6" t="str">
        <f ca="1">IFERROR(__xludf.DUMMYFUNCTION("""COMPUTED_VALUE"""),"Võistkond")</f>
        <v>Võistkond</v>
      </c>
      <c r="F48" s="6" t="str">
        <f ca="1">IFERROR(__xludf.DUMMYFUNCTION("""COMPUTED_VALUE"""),"10.09.23")</f>
        <v>10.09.23</v>
      </c>
      <c r="G48" s="6">
        <f ca="1">IFERROR(__xludf.DUMMYFUNCTION("""COMPUTED_VALUE"""),96.6)</f>
        <v>96.6</v>
      </c>
      <c r="H48" s="6">
        <f ca="1">IFERROR(__xludf.DUMMYFUNCTION("""COMPUTED_VALUE"""),95.9)</f>
        <v>95.9</v>
      </c>
      <c r="I48" s="6">
        <f ca="1">IFERROR(__xludf.DUMMYFUNCTION("""COMPUTED_VALUE"""),97.5)</f>
        <v>97.5</v>
      </c>
      <c r="J48" s="6"/>
      <c r="K48" s="6"/>
      <c r="L48" s="6"/>
      <c r="M48" s="6">
        <f ca="1">IFERROR(__xludf.DUMMYFUNCTION("""COMPUTED_VALUE"""),290)</f>
        <v>290</v>
      </c>
      <c r="N48" s="6">
        <f ca="1">IFERROR(__xludf.DUMMYFUNCTION("""COMPUTED_VALUE"""),290)</f>
        <v>290</v>
      </c>
    </row>
    <row r="49" spans="1:14" ht="12.75">
      <c r="A49" s="6" t="str">
        <f ca="1">IFERROR(__xludf.DUMMYFUNCTION("""COMPUTED_VALUE"""),"Kennet Kalda")</f>
        <v>Kennet Kalda</v>
      </c>
      <c r="B49" s="6" t="str">
        <f ca="1">IFERROR(__xludf.DUMMYFUNCTION("""COMPUTED_VALUE"""),"Pärnumaa")</f>
        <v>Pärnumaa</v>
      </c>
      <c r="C49" s="6" t="str">
        <f ca="1">IFERROR(__xludf.DUMMYFUNCTION("""COMPUTED_VALUE"""),"MJ")</f>
        <v>MJ</v>
      </c>
      <c r="D49" s="6" t="str">
        <f ca="1">IFERROR(__xludf.DUMMYFUNCTION("""COMPUTED_VALUE"""),"50m lamades H7")</f>
        <v>50m lamades H7</v>
      </c>
      <c r="E49" s="6" t="str">
        <f ca="1">IFERROR(__xludf.DUMMYFUNCTION("""COMPUTED_VALUE"""),"Võistkond")</f>
        <v>Võistkond</v>
      </c>
      <c r="F49" s="6" t="str">
        <f ca="1">IFERROR(__xludf.DUMMYFUNCTION("""COMPUTED_VALUE"""),"09.09.23")</f>
        <v>09.09.23</v>
      </c>
      <c r="G49" s="6">
        <f ca="1">IFERROR(__xludf.DUMMYFUNCTION("""COMPUTED_VALUE"""),95.5)</f>
        <v>95.5</v>
      </c>
      <c r="H49" s="6">
        <f ca="1">IFERROR(__xludf.DUMMYFUNCTION("""COMPUTED_VALUE"""),95.2)</f>
        <v>95.2</v>
      </c>
      <c r="I49" s="6">
        <f ca="1">IFERROR(__xludf.DUMMYFUNCTION("""COMPUTED_VALUE"""),98.7)</f>
        <v>98.7</v>
      </c>
      <c r="J49" s="6"/>
      <c r="K49" s="6"/>
      <c r="L49" s="6"/>
      <c r="M49" s="6">
        <f ca="1">IFERROR(__xludf.DUMMYFUNCTION("""COMPUTED_VALUE"""),289.4)</f>
        <v>289.39999999999998</v>
      </c>
      <c r="N49" s="6">
        <f ca="1">IFERROR(__xludf.DUMMYFUNCTION("""COMPUTED_VALUE"""),289.4)</f>
        <v>289.39999999999998</v>
      </c>
    </row>
    <row r="50" spans="1:14" ht="12.75">
      <c r="A50" s="6" t="str">
        <f ca="1">IFERROR(__xludf.DUMMYFUNCTION("""COMPUTED_VALUE"""),"Mendi Kallavus")</f>
        <v>Mendi Kallavus</v>
      </c>
      <c r="B50" s="6" t="str">
        <f ca="1">IFERROR(__xludf.DUMMYFUNCTION("""COMPUTED_VALUE"""),"Saaremaa")</f>
        <v>Saaremaa</v>
      </c>
      <c r="C50" s="6" t="str">
        <f ca="1">IFERROR(__xludf.DUMMYFUNCTION("""COMPUTED_VALUE"""),"N")</f>
        <v>N</v>
      </c>
      <c r="D50" s="6" t="str">
        <f ca="1">IFERROR(__xludf.DUMMYFUNCTION("""COMPUTED_VALUE"""),"50m lamades H7")</f>
        <v>50m lamades H7</v>
      </c>
      <c r="E50" s="6" t="str">
        <f ca="1">IFERROR(__xludf.DUMMYFUNCTION("""COMPUTED_VALUE"""),"Võistkond")</f>
        <v>Võistkond</v>
      </c>
      <c r="F50" s="6" t="str">
        <f ca="1">IFERROR(__xludf.DUMMYFUNCTION("""COMPUTED_VALUE"""),"09.09.23")</f>
        <v>09.09.23</v>
      </c>
      <c r="G50" s="6">
        <f ca="1">IFERROR(__xludf.DUMMYFUNCTION("""COMPUTED_VALUE"""),95.7)</f>
        <v>95.7</v>
      </c>
      <c r="H50" s="6">
        <f ca="1">IFERROR(__xludf.DUMMYFUNCTION("""COMPUTED_VALUE"""),97.6)</f>
        <v>97.6</v>
      </c>
      <c r="I50" s="6">
        <f ca="1">IFERROR(__xludf.DUMMYFUNCTION("""COMPUTED_VALUE"""),93.2)</f>
        <v>93.2</v>
      </c>
      <c r="J50" s="6"/>
      <c r="K50" s="6"/>
      <c r="L50" s="6"/>
      <c r="M50" s="6">
        <f ca="1">IFERROR(__xludf.DUMMYFUNCTION("""COMPUTED_VALUE"""),286.5)</f>
        <v>286.5</v>
      </c>
      <c r="N50" s="6">
        <f ca="1">IFERROR(__xludf.DUMMYFUNCTION("""COMPUTED_VALUE"""),286.5)</f>
        <v>286.5</v>
      </c>
    </row>
    <row r="51" spans="1:14" ht="12.75">
      <c r="A51" s="6" t="str">
        <f ca="1">IFERROR(__xludf.DUMMYFUNCTION("""COMPUTED_VALUE"""),"Reti-Karlota Rebane")</f>
        <v>Reti-Karlota Rebane</v>
      </c>
      <c r="B51" s="6" t="str">
        <f ca="1">IFERROR(__xludf.DUMMYFUNCTION("""COMPUTED_VALUE"""),"Põlva")</f>
        <v>Põlva</v>
      </c>
      <c r="C51" s="6" t="str">
        <f ca="1">IFERROR(__xludf.DUMMYFUNCTION("""COMPUTED_VALUE"""),"NJ")</f>
        <v>NJ</v>
      </c>
      <c r="D51" s="6" t="str">
        <f ca="1">IFERROR(__xludf.DUMMYFUNCTION("""COMPUTED_VALUE"""),"50m lamades H7")</f>
        <v>50m lamades H7</v>
      </c>
      <c r="E51" s="6" t="str">
        <f ca="1">IFERROR(__xludf.DUMMYFUNCTION("""COMPUTED_VALUE"""),"Võistkond")</f>
        <v>Võistkond</v>
      </c>
      <c r="F51" s="6" t="str">
        <f ca="1">IFERROR(__xludf.DUMMYFUNCTION("""COMPUTED_VALUE"""),"10.09.23")</f>
        <v>10.09.23</v>
      </c>
      <c r="G51" s="6">
        <f ca="1">IFERROR(__xludf.DUMMYFUNCTION("""COMPUTED_VALUE"""),96.7)</f>
        <v>96.7</v>
      </c>
      <c r="H51" s="6">
        <f ca="1">IFERROR(__xludf.DUMMYFUNCTION("""COMPUTED_VALUE"""),93.2)</f>
        <v>93.2</v>
      </c>
      <c r="I51" s="6">
        <f ca="1">IFERROR(__xludf.DUMMYFUNCTION("""COMPUTED_VALUE"""),96.4)</f>
        <v>96.4</v>
      </c>
      <c r="J51" s="6"/>
      <c r="K51" s="6"/>
      <c r="L51" s="6"/>
      <c r="M51" s="6">
        <f ca="1">IFERROR(__xludf.DUMMYFUNCTION("""COMPUTED_VALUE"""),286.3)</f>
        <v>286.3</v>
      </c>
      <c r="N51" s="6">
        <f ca="1">IFERROR(__xludf.DUMMYFUNCTION("""COMPUTED_VALUE"""),286.3)</f>
        <v>286.3</v>
      </c>
    </row>
    <row r="52" spans="1:14" ht="12.75">
      <c r="A52" s="6" t="str">
        <f ca="1">IFERROR(__xludf.DUMMYFUNCTION("""COMPUTED_VALUE"""),"Sven Leit-Teetlaus")</f>
        <v>Sven Leit-Teetlaus</v>
      </c>
      <c r="B52" s="6" t="str">
        <f ca="1">IFERROR(__xludf.DUMMYFUNCTION("""COMPUTED_VALUE"""),"Pärnumaa")</f>
        <v>Pärnumaa</v>
      </c>
      <c r="C52" s="6" t="str">
        <f ca="1">IFERROR(__xludf.DUMMYFUNCTION("""COMPUTED_VALUE"""),"M")</f>
        <v>M</v>
      </c>
      <c r="D52" s="6" t="str">
        <f ca="1">IFERROR(__xludf.DUMMYFUNCTION("""COMPUTED_VALUE"""),"50m lamades H7")</f>
        <v>50m lamades H7</v>
      </c>
      <c r="E52" s="6" t="str">
        <f ca="1">IFERROR(__xludf.DUMMYFUNCTION("""COMPUTED_VALUE"""),"Võistkond")</f>
        <v>Võistkond</v>
      </c>
      <c r="F52" s="6" t="str">
        <f ca="1">IFERROR(__xludf.DUMMYFUNCTION("""COMPUTED_VALUE"""),"09.09.23")</f>
        <v>09.09.23</v>
      </c>
      <c r="G52" s="6">
        <f ca="1">IFERROR(__xludf.DUMMYFUNCTION("""COMPUTED_VALUE"""),98.8)</f>
        <v>98.8</v>
      </c>
      <c r="H52" s="6">
        <f ca="1">IFERROR(__xludf.DUMMYFUNCTION("""COMPUTED_VALUE"""),94.1)</f>
        <v>94.1</v>
      </c>
      <c r="I52" s="6">
        <f ca="1">IFERROR(__xludf.DUMMYFUNCTION("""COMPUTED_VALUE"""),92.4)</f>
        <v>92.4</v>
      </c>
      <c r="J52" s="6"/>
      <c r="K52" s="6"/>
      <c r="L52" s="6"/>
      <c r="M52" s="6">
        <f ca="1">IFERROR(__xludf.DUMMYFUNCTION("""COMPUTED_VALUE"""),285.299999999999)</f>
        <v>285.29999999999899</v>
      </c>
      <c r="N52" s="6">
        <f ca="1">IFERROR(__xludf.DUMMYFUNCTION("""COMPUTED_VALUE"""),285.299999999999)</f>
        <v>285.29999999999899</v>
      </c>
    </row>
    <row r="53" spans="1:14" ht="12.75">
      <c r="A53" s="6" t="str">
        <f ca="1">IFERROR(__xludf.DUMMYFUNCTION("""COMPUTED_VALUE"""),"Külli Sarna")</f>
        <v>Külli Sarna</v>
      </c>
      <c r="B53" s="6" t="str">
        <f ca="1">IFERROR(__xludf.DUMMYFUNCTION("""COMPUTED_VALUE"""),"Harju")</f>
        <v>Harju</v>
      </c>
      <c r="C53" s="6" t="str">
        <f ca="1">IFERROR(__xludf.DUMMYFUNCTION("""COMPUTED_VALUE"""),"N")</f>
        <v>N</v>
      </c>
      <c r="D53" s="6" t="str">
        <f ca="1">IFERROR(__xludf.DUMMYFUNCTION("""COMPUTED_VALUE"""),"50m lamades H7")</f>
        <v>50m lamades H7</v>
      </c>
      <c r="E53" s="6" t="str">
        <f ca="1">IFERROR(__xludf.DUMMYFUNCTION("""COMPUTED_VALUE"""),"Individuaalne")</f>
        <v>Individuaalne</v>
      </c>
      <c r="F53" s="6" t="str">
        <f ca="1">IFERROR(__xludf.DUMMYFUNCTION("""COMPUTED_VALUE"""),"10.09.23")</f>
        <v>10.09.23</v>
      </c>
      <c r="G53" s="6">
        <f ca="1">IFERROR(__xludf.DUMMYFUNCTION("""COMPUTED_VALUE"""),93.5)</f>
        <v>93.5</v>
      </c>
      <c r="H53" s="6">
        <f ca="1">IFERROR(__xludf.DUMMYFUNCTION("""COMPUTED_VALUE"""),93)</f>
        <v>93</v>
      </c>
      <c r="I53" s="6">
        <f ca="1">IFERROR(__xludf.DUMMYFUNCTION("""COMPUTED_VALUE"""),98.2)</f>
        <v>98.2</v>
      </c>
      <c r="J53" s="6"/>
      <c r="K53" s="6"/>
      <c r="L53" s="6"/>
      <c r="M53" s="6">
        <f ca="1">IFERROR(__xludf.DUMMYFUNCTION("""COMPUTED_VALUE"""),284.7)</f>
        <v>284.7</v>
      </c>
      <c r="N53" s="6"/>
    </row>
    <row r="54" spans="1:14" ht="12.75">
      <c r="A54" s="6" t="str">
        <f ca="1">IFERROR(__xludf.DUMMYFUNCTION("""COMPUTED_VALUE"""),"Margareth Kampmann")</f>
        <v>Margareth Kampmann</v>
      </c>
      <c r="B54" s="6" t="str">
        <f ca="1">IFERROR(__xludf.DUMMYFUNCTION("""COMPUTED_VALUE"""),"Lääne")</f>
        <v>Lääne</v>
      </c>
      <c r="C54" s="6" t="str">
        <f ca="1">IFERROR(__xludf.DUMMYFUNCTION("""COMPUTED_VALUE"""),"N")</f>
        <v>N</v>
      </c>
      <c r="D54" s="6" t="str">
        <f ca="1">IFERROR(__xludf.DUMMYFUNCTION("""COMPUTED_VALUE"""),"50m lamades H7")</f>
        <v>50m lamades H7</v>
      </c>
      <c r="E54" s="6" t="str">
        <f ca="1">IFERROR(__xludf.DUMMYFUNCTION("""COMPUTED_VALUE"""),"Võistkond")</f>
        <v>Võistkond</v>
      </c>
      <c r="F54" s="6" t="str">
        <f ca="1">IFERROR(__xludf.DUMMYFUNCTION("""COMPUTED_VALUE"""),"10.09.23")</f>
        <v>10.09.23</v>
      </c>
      <c r="G54" s="6">
        <f ca="1">IFERROR(__xludf.DUMMYFUNCTION("""COMPUTED_VALUE"""),94.2)</f>
        <v>94.2</v>
      </c>
      <c r="H54" s="6">
        <f ca="1">IFERROR(__xludf.DUMMYFUNCTION("""COMPUTED_VALUE"""),93.5)</f>
        <v>93.5</v>
      </c>
      <c r="I54" s="6">
        <f ca="1">IFERROR(__xludf.DUMMYFUNCTION("""COMPUTED_VALUE"""),96.9)</f>
        <v>96.9</v>
      </c>
      <c r="J54" s="6"/>
      <c r="K54" s="6"/>
      <c r="L54" s="6"/>
      <c r="M54" s="6">
        <f ca="1">IFERROR(__xludf.DUMMYFUNCTION("""COMPUTED_VALUE"""),284.6)</f>
        <v>284.60000000000002</v>
      </c>
      <c r="N54" s="6">
        <f ca="1">IFERROR(__xludf.DUMMYFUNCTION("""COMPUTED_VALUE"""),284.6)</f>
        <v>284.60000000000002</v>
      </c>
    </row>
    <row r="55" spans="1:14" ht="12.75">
      <c r="A55" s="6" t="str">
        <f ca="1">IFERROR(__xludf.DUMMYFUNCTION("""COMPUTED_VALUE"""),"Ardon Neostus")</f>
        <v>Ardon Neostus</v>
      </c>
      <c r="B55" s="6" t="str">
        <f ca="1">IFERROR(__xludf.DUMMYFUNCTION("""COMPUTED_VALUE"""),"Alutaguse")</f>
        <v>Alutaguse</v>
      </c>
      <c r="C55" s="6" t="str">
        <f ca="1">IFERROR(__xludf.DUMMYFUNCTION("""COMPUTED_VALUE"""),"P")</f>
        <v>P</v>
      </c>
      <c r="D55" s="6" t="str">
        <f ca="1">IFERROR(__xludf.DUMMYFUNCTION("""COMPUTED_VALUE"""),"50m lamades H7")</f>
        <v>50m lamades H7</v>
      </c>
      <c r="E55" s="6" t="str">
        <f ca="1">IFERROR(__xludf.DUMMYFUNCTION("""COMPUTED_VALUE"""),"Võistkond")</f>
        <v>Võistkond</v>
      </c>
      <c r="F55" s="6" t="str">
        <f ca="1">IFERROR(__xludf.DUMMYFUNCTION("""COMPUTED_VALUE"""),"09.09.23")</f>
        <v>09.09.23</v>
      </c>
      <c r="G55" s="6">
        <f ca="1">IFERROR(__xludf.DUMMYFUNCTION("""COMPUTED_VALUE"""),91.2)</f>
        <v>91.2</v>
      </c>
      <c r="H55" s="6">
        <f ca="1">IFERROR(__xludf.DUMMYFUNCTION("""COMPUTED_VALUE"""),95.1)</f>
        <v>95.1</v>
      </c>
      <c r="I55" s="6">
        <f ca="1">IFERROR(__xludf.DUMMYFUNCTION("""COMPUTED_VALUE"""),98.1)</f>
        <v>98.1</v>
      </c>
      <c r="J55" s="6"/>
      <c r="K55" s="6"/>
      <c r="L55" s="6"/>
      <c r="M55" s="6">
        <f ca="1">IFERROR(__xludf.DUMMYFUNCTION("""COMPUTED_VALUE"""),284.4)</f>
        <v>284.39999999999998</v>
      </c>
      <c r="N55" s="6">
        <f ca="1">IFERROR(__xludf.DUMMYFUNCTION("""COMPUTED_VALUE"""),284.4)</f>
        <v>284.39999999999998</v>
      </c>
    </row>
    <row r="56" spans="1:14" ht="12.75">
      <c r="A56" s="6" t="str">
        <f ca="1">IFERROR(__xludf.DUMMYFUNCTION("""COMPUTED_VALUE"""),"MatisFred Tutt")</f>
        <v>MatisFred Tutt</v>
      </c>
      <c r="B56" s="6" t="str">
        <f ca="1">IFERROR(__xludf.DUMMYFUNCTION("""COMPUTED_VALUE"""),"Rapla")</f>
        <v>Rapla</v>
      </c>
      <c r="C56" s="6" t="str">
        <f ca="1">IFERROR(__xludf.DUMMYFUNCTION("""COMPUTED_VALUE"""),"MJ")</f>
        <v>MJ</v>
      </c>
      <c r="D56" s="6" t="str">
        <f ca="1">IFERROR(__xludf.DUMMYFUNCTION("""COMPUTED_VALUE"""),"50m lamades H7")</f>
        <v>50m lamades H7</v>
      </c>
      <c r="E56" s="6" t="str">
        <f ca="1">IFERROR(__xludf.DUMMYFUNCTION("""COMPUTED_VALUE"""),"Võistkond")</f>
        <v>Võistkond</v>
      </c>
      <c r="F56" s="6" t="str">
        <f ca="1">IFERROR(__xludf.DUMMYFUNCTION("""COMPUTED_VALUE"""),"10.09.23")</f>
        <v>10.09.23</v>
      </c>
      <c r="G56" s="6">
        <f ca="1">IFERROR(__xludf.DUMMYFUNCTION("""COMPUTED_VALUE"""),95.3)</f>
        <v>95.3</v>
      </c>
      <c r="H56" s="6">
        <f ca="1">IFERROR(__xludf.DUMMYFUNCTION("""COMPUTED_VALUE"""),95.4)</f>
        <v>95.4</v>
      </c>
      <c r="I56" s="6">
        <f ca="1">IFERROR(__xludf.DUMMYFUNCTION("""COMPUTED_VALUE"""),93.4)</f>
        <v>93.4</v>
      </c>
      <c r="J56" s="6"/>
      <c r="K56" s="6"/>
      <c r="L56" s="6"/>
      <c r="M56" s="6">
        <f ca="1">IFERROR(__xludf.DUMMYFUNCTION("""COMPUTED_VALUE"""),284.1)</f>
        <v>284.10000000000002</v>
      </c>
      <c r="N56" s="6">
        <f ca="1">IFERROR(__xludf.DUMMYFUNCTION("""COMPUTED_VALUE"""),284.1)</f>
        <v>284.10000000000002</v>
      </c>
    </row>
    <row r="57" spans="1:14" ht="12.75">
      <c r="A57" s="6" t="str">
        <f ca="1">IFERROR(__xludf.DUMMYFUNCTION("""COMPUTED_VALUE"""),"Robi Abel")</f>
        <v>Robi Abel</v>
      </c>
      <c r="B57" s="6" t="str">
        <f ca="1">IFERROR(__xludf.DUMMYFUNCTION("""COMPUTED_VALUE"""),"Järva")</f>
        <v>Järva</v>
      </c>
      <c r="C57" s="6" t="str">
        <f ca="1">IFERROR(__xludf.DUMMYFUNCTION("""COMPUTED_VALUE"""),"MJ")</f>
        <v>MJ</v>
      </c>
      <c r="D57" s="6" t="str">
        <f ca="1">IFERROR(__xludf.DUMMYFUNCTION("""COMPUTED_VALUE"""),"50m lamades H7")</f>
        <v>50m lamades H7</v>
      </c>
      <c r="E57" s="6" t="str">
        <f ca="1">IFERROR(__xludf.DUMMYFUNCTION("""COMPUTED_VALUE"""),"Võistkond")</f>
        <v>Võistkond</v>
      </c>
      <c r="F57" s="6" t="str">
        <f ca="1">IFERROR(__xludf.DUMMYFUNCTION("""COMPUTED_VALUE"""),"09.09.23")</f>
        <v>09.09.23</v>
      </c>
      <c r="G57" s="6">
        <f ca="1">IFERROR(__xludf.DUMMYFUNCTION("""COMPUTED_VALUE"""),96.3)</f>
        <v>96.3</v>
      </c>
      <c r="H57" s="6">
        <f ca="1">IFERROR(__xludf.DUMMYFUNCTION("""COMPUTED_VALUE"""),93.6)</f>
        <v>93.6</v>
      </c>
      <c r="I57" s="6">
        <f ca="1">IFERROR(__xludf.DUMMYFUNCTION("""COMPUTED_VALUE"""),93.6)</f>
        <v>93.6</v>
      </c>
      <c r="J57" s="6"/>
      <c r="K57" s="6"/>
      <c r="L57" s="6"/>
      <c r="M57" s="6">
        <f ca="1">IFERROR(__xludf.DUMMYFUNCTION("""COMPUTED_VALUE"""),283.5)</f>
        <v>283.5</v>
      </c>
      <c r="N57" s="6">
        <f ca="1">IFERROR(__xludf.DUMMYFUNCTION("""COMPUTED_VALUE"""),283.5)</f>
        <v>283.5</v>
      </c>
    </row>
    <row r="58" spans="1:14" ht="12.75">
      <c r="A58" s="6" t="str">
        <f ca="1">IFERROR(__xludf.DUMMYFUNCTION("""COMPUTED_VALUE"""),"Ruuben Jaanisk")</f>
        <v>Ruuben Jaanisk</v>
      </c>
      <c r="B58" s="6" t="str">
        <f ca="1">IFERROR(__xludf.DUMMYFUNCTION("""COMPUTED_VALUE"""),"Lääne")</f>
        <v>Lääne</v>
      </c>
      <c r="C58" s="6" t="str">
        <f ca="1">IFERROR(__xludf.DUMMYFUNCTION("""COMPUTED_VALUE"""),"MJ")</f>
        <v>MJ</v>
      </c>
      <c r="D58" s="6" t="str">
        <f ca="1">IFERROR(__xludf.DUMMYFUNCTION("""COMPUTED_VALUE"""),"50m lamades H7")</f>
        <v>50m lamades H7</v>
      </c>
      <c r="E58" s="6" t="str">
        <f ca="1">IFERROR(__xludf.DUMMYFUNCTION("""COMPUTED_VALUE"""),"Võistkond")</f>
        <v>Võistkond</v>
      </c>
      <c r="F58" s="6" t="str">
        <f ca="1">IFERROR(__xludf.DUMMYFUNCTION("""COMPUTED_VALUE"""),"10.09.23")</f>
        <v>10.09.23</v>
      </c>
      <c r="G58" s="6">
        <f ca="1">IFERROR(__xludf.DUMMYFUNCTION("""COMPUTED_VALUE"""),96.8)</f>
        <v>96.8</v>
      </c>
      <c r="H58" s="6">
        <f ca="1">IFERROR(__xludf.DUMMYFUNCTION("""COMPUTED_VALUE"""),90.5)</f>
        <v>90.5</v>
      </c>
      <c r="I58" s="6">
        <f ca="1">IFERROR(__xludf.DUMMYFUNCTION("""COMPUTED_VALUE"""),95.4)</f>
        <v>95.4</v>
      </c>
      <c r="J58" s="6"/>
      <c r="K58" s="6"/>
      <c r="L58" s="6"/>
      <c r="M58" s="6">
        <f ca="1">IFERROR(__xludf.DUMMYFUNCTION("""COMPUTED_VALUE"""),282.7)</f>
        <v>282.7</v>
      </c>
      <c r="N58" s="6">
        <f ca="1">IFERROR(__xludf.DUMMYFUNCTION("""COMPUTED_VALUE"""),282.7)</f>
        <v>282.7</v>
      </c>
    </row>
    <row r="59" spans="1:14" ht="12.75">
      <c r="A59" s="6" t="str">
        <f ca="1">IFERROR(__xludf.DUMMYFUNCTION("""COMPUTED_VALUE"""),"Loore Tagen")</f>
        <v>Loore Tagen</v>
      </c>
      <c r="B59" s="6" t="str">
        <f ca="1">IFERROR(__xludf.DUMMYFUNCTION("""COMPUTED_VALUE"""),"Võrumaa")</f>
        <v>Võrumaa</v>
      </c>
      <c r="C59" s="6" t="str">
        <f ca="1">IFERROR(__xludf.DUMMYFUNCTION("""COMPUTED_VALUE"""),"T")</f>
        <v>T</v>
      </c>
      <c r="D59" s="6" t="str">
        <f ca="1">IFERROR(__xludf.DUMMYFUNCTION("""COMPUTED_VALUE"""),"50m lamades H7")</f>
        <v>50m lamades H7</v>
      </c>
      <c r="E59" s="6" t="str">
        <f ca="1">IFERROR(__xludf.DUMMYFUNCTION("""COMPUTED_VALUE"""),"Võistkond")</f>
        <v>Võistkond</v>
      </c>
      <c r="F59" s="6" t="str">
        <f ca="1">IFERROR(__xludf.DUMMYFUNCTION("""COMPUTED_VALUE"""),"10.09.23")</f>
        <v>10.09.23</v>
      </c>
      <c r="G59" s="6">
        <f ca="1">IFERROR(__xludf.DUMMYFUNCTION("""COMPUTED_VALUE"""),97.6)</f>
        <v>97.6</v>
      </c>
      <c r="H59" s="6">
        <f ca="1">IFERROR(__xludf.DUMMYFUNCTION("""COMPUTED_VALUE"""),90.1)</f>
        <v>90.1</v>
      </c>
      <c r="I59" s="6">
        <f ca="1">IFERROR(__xludf.DUMMYFUNCTION("""COMPUTED_VALUE"""),94.1)</f>
        <v>94.1</v>
      </c>
      <c r="J59" s="6"/>
      <c r="K59" s="6"/>
      <c r="L59" s="6"/>
      <c r="M59" s="6">
        <f ca="1">IFERROR(__xludf.DUMMYFUNCTION("""COMPUTED_VALUE"""),281.799999999999)</f>
        <v>281.79999999999899</v>
      </c>
      <c r="N59" s="6">
        <f ca="1">IFERROR(__xludf.DUMMYFUNCTION("""COMPUTED_VALUE"""),281.799999999999)</f>
        <v>281.79999999999899</v>
      </c>
    </row>
    <row r="60" spans="1:14" ht="12.75">
      <c r="A60" s="6" t="str">
        <f ca="1">IFERROR(__xludf.DUMMYFUNCTION("""COMPUTED_VALUE"""),"Katrin Leppik")</f>
        <v>Katrin Leppik</v>
      </c>
      <c r="B60" s="6" t="str">
        <f ca="1">IFERROR(__xludf.DUMMYFUNCTION("""COMPUTED_VALUE"""),"KKÜ")</f>
        <v>KKÜ</v>
      </c>
      <c r="C60" s="6" t="str">
        <f ca="1">IFERROR(__xludf.DUMMYFUNCTION("""COMPUTED_VALUE"""),"N")</f>
        <v>N</v>
      </c>
      <c r="D60" s="6" t="str">
        <f ca="1">IFERROR(__xludf.DUMMYFUNCTION("""COMPUTED_VALUE"""),"50m lamades H7")</f>
        <v>50m lamades H7</v>
      </c>
      <c r="E60" s="6" t="str">
        <f ca="1">IFERROR(__xludf.DUMMYFUNCTION("""COMPUTED_VALUE"""),"Võistkond")</f>
        <v>Võistkond</v>
      </c>
      <c r="F60" s="6" t="str">
        <f ca="1">IFERROR(__xludf.DUMMYFUNCTION("""COMPUTED_VALUE"""),"09.09.23")</f>
        <v>09.09.23</v>
      </c>
      <c r="G60" s="6">
        <f ca="1">IFERROR(__xludf.DUMMYFUNCTION("""COMPUTED_VALUE"""),94.2)</f>
        <v>94.2</v>
      </c>
      <c r="H60" s="6">
        <f ca="1">IFERROR(__xludf.DUMMYFUNCTION("""COMPUTED_VALUE"""),93.7)</f>
        <v>93.7</v>
      </c>
      <c r="I60" s="6">
        <f ca="1">IFERROR(__xludf.DUMMYFUNCTION("""COMPUTED_VALUE"""),93.2)</f>
        <v>93.2</v>
      </c>
      <c r="J60" s="6"/>
      <c r="K60" s="6"/>
      <c r="L60" s="6"/>
      <c r="M60" s="6">
        <f ca="1">IFERROR(__xludf.DUMMYFUNCTION("""COMPUTED_VALUE"""),281.1)</f>
        <v>281.10000000000002</v>
      </c>
      <c r="N60" s="6">
        <f ca="1">IFERROR(__xludf.DUMMYFUNCTION("""COMPUTED_VALUE"""),281.1)</f>
        <v>281.10000000000002</v>
      </c>
    </row>
    <row r="61" spans="1:14" ht="12.75">
      <c r="A61" s="6" t="str">
        <f ca="1">IFERROR(__xludf.DUMMYFUNCTION("""COMPUTED_VALUE"""),"Kertu Puštšenko")</f>
        <v>Kertu Puštšenko</v>
      </c>
      <c r="B61" s="6" t="str">
        <f ca="1">IFERROR(__xludf.DUMMYFUNCTION("""COMPUTED_VALUE"""),"Alutaguse")</f>
        <v>Alutaguse</v>
      </c>
      <c r="C61" s="6" t="str">
        <f ca="1">IFERROR(__xludf.DUMMYFUNCTION("""COMPUTED_VALUE"""),"NJ")</f>
        <v>NJ</v>
      </c>
      <c r="D61" s="6" t="str">
        <f ca="1">IFERROR(__xludf.DUMMYFUNCTION("""COMPUTED_VALUE"""),"50m lamades H7")</f>
        <v>50m lamades H7</v>
      </c>
      <c r="E61" s="6" t="str">
        <f ca="1">IFERROR(__xludf.DUMMYFUNCTION("""COMPUTED_VALUE"""),"Individuaalne")</f>
        <v>Individuaalne</v>
      </c>
      <c r="F61" s="6" t="str">
        <f ca="1">IFERROR(__xludf.DUMMYFUNCTION("""COMPUTED_VALUE"""),"09.09.23")</f>
        <v>09.09.23</v>
      </c>
      <c r="G61" s="6">
        <f ca="1">IFERROR(__xludf.DUMMYFUNCTION("""COMPUTED_VALUE"""),94)</f>
        <v>94</v>
      </c>
      <c r="H61" s="6">
        <f ca="1">IFERROR(__xludf.DUMMYFUNCTION("""COMPUTED_VALUE"""),94.5)</f>
        <v>94.5</v>
      </c>
      <c r="I61" s="6">
        <f ca="1">IFERROR(__xludf.DUMMYFUNCTION("""COMPUTED_VALUE"""),91.7)</f>
        <v>91.7</v>
      </c>
      <c r="J61" s="6"/>
      <c r="K61" s="6"/>
      <c r="L61" s="6"/>
      <c r="M61" s="6">
        <f ca="1">IFERROR(__xludf.DUMMYFUNCTION("""COMPUTED_VALUE"""),280.2)</f>
        <v>280.2</v>
      </c>
      <c r="N61" s="6"/>
    </row>
    <row r="62" spans="1:14" ht="12.75">
      <c r="A62" s="6" t="str">
        <f ca="1">IFERROR(__xludf.DUMMYFUNCTION("""COMPUTED_VALUE"""),"Rando Köster")</f>
        <v>Rando Köster</v>
      </c>
      <c r="B62" s="6" t="str">
        <f ca="1">IFERROR(__xludf.DUMMYFUNCTION("""COMPUTED_VALUE"""),"Pärnumaa")</f>
        <v>Pärnumaa</v>
      </c>
      <c r="C62" s="6" t="str">
        <f ca="1">IFERROR(__xludf.DUMMYFUNCTION("""COMPUTED_VALUE"""),"M")</f>
        <v>M</v>
      </c>
      <c r="D62" s="6" t="str">
        <f ca="1">IFERROR(__xludf.DUMMYFUNCTION("""COMPUTED_VALUE"""),"50m lamades H7")</f>
        <v>50m lamades H7</v>
      </c>
      <c r="E62" s="6" t="str">
        <f ca="1">IFERROR(__xludf.DUMMYFUNCTION("""COMPUTED_VALUE"""),"Individuaalne")</f>
        <v>Individuaalne</v>
      </c>
      <c r="F62" s="6" t="str">
        <f ca="1">IFERROR(__xludf.DUMMYFUNCTION("""COMPUTED_VALUE"""),"09.09.23")</f>
        <v>09.09.23</v>
      </c>
      <c r="G62" s="6">
        <f ca="1">IFERROR(__xludf.DUMMYFUNCTION("""COMPUTED_VALUE"""),83.2)</f>
        <v>83.2</v>
      </c>
      <c r="H62" s="6">
        <f ca="1">IFERROR(__xludf.DUMMYFUNCTION("""COMPUTED_VALUE"""),95.7)</f>
        <v>95.7</v>
      </c>
      <c r="I62" s="6">
        <f ca="1">IFERROR(__xludf.DUMMYFUNCTION("""COMPUTED_VALUE"""),101.2)</f>
        <v>101.2</v>
      </c>
      <c r="J62" s="6"/>
      <c r="K62" s="6"/>
      <c r="L62" s="6"/>
      <c r="M62" s="6">
        <f ca="1">IFERROR(__xludf.DUMMYFUNCTION("""COMPUTED_VALUE"""),280.1)</f>
        <v>280.10000000000002</v>
      </c>
      <c r="N62" s="6"/>
    </row>
    <row r="63" spans="1:14" ht="12.75">
      <c r="A63" s="6" t="str">
        <f ca="1">IFERROR(__xludf.DUMMYFUNCTION("""COMPUTED_VALUE"""),"Taavi Talvoja")</f>
        <v>Taavi Talvoja</v>
      </c>
      <c r="B63" s="6" t="str">
        <f ca="1">IFERROR(__xludf.DUMMYFUNCTION("""COMPUTED_VALUE"""),"Rapla")</f>
        <v>Rapla</v>
      </c>
      <c r="C63" s="6" t="str">
        <f ca="1">IFERROR(__xludf.DUMMYFUNCTION("""COMPUTED_VALUE"""),"P")</f>
        <v>P</v>
      </c>
      <c r="D63" s="6" t="str">
        <f ca="1">IFERROR(__xludf.DUMMYFUNCTION("""COMPUTED_VALUE"""),"50m lamades H7")</f>
        <v>50m lamades H7</v>
      </c>
      <c r="E63" s="6" t="str">
        <f ca="1">IFERROR(__xludf.DUMMYFUNCTION("""COMPUTED_VALUE"""),"Võistkond")</f>
        <v>Võistkond</v>
      </c>
      <c r="F63" s="6" t="str">
        <f ca="1">IFERROR(__xludf.DUMMYFUNCTION("""COMPUTED_VALUE"""),"10.09.23")</f>
        <v>10.09.23</v>
      </c>
      <c r="G63" s="6">
        <f ca="1">IFERROR(__xludf.DUMMYFUNCTION("""COMPUTED_VALUE"""),89.8)</f>
        <v>89.8</v>
      </c>
      <c r="H63" s="6">
        <f ca="1">IFERROR(__xludf.DUMMYFUNCTION("""COMPUTED_VALUE"""),95.8)</f>
        <v>95.8</v>
      </c>
      <c r="I63" s="6">
        <f ca="1">IFERROR(__xludf.DUMMYFUNCTION("""COMPUTED_VALUE"""),93.5)</f>
        <v>93.5</v>
      </c>
      <c r="J63" s="6"/>
      <c r="K63" s="6"/>
      <c r="L63" s="6"/>
      <c r="M63" s="6">
        <f ca="1">IFERROR(__xludf.DUMMYFUNCTION("""COMPUTED_VALUE"""),279.1)</f>
        <v>279.10000000000002</v>
      </c>
      <c r="N63" s="6">
        <f ca="1">IFERROR(__xludf.DUMMYFUNCTION("""COMPUTED_VALUE"""),279.1)</f>
        <v>279.10000000000002</v>
      </c>
    </row>
    <row r="64" spans="1:14" ht="12.75">
      <c r="A64" s="6" t="str">
        <f ca="1">IFERROR(__xludf.DUMMYFUNCTION("""COMPUTED_VALUE"""),"Kirsika Kelder")</f>
        <v>Kirsika Kelder</v>
      </c>
      <c r="B64" s="6" t="str">
        <f ca="1">IFERROR(__xludf.DUMMYFUNCTION("""COMPUTED_VALUE"""),"Tartu")</f>
        <v>Tartu</v>
      </c>
      <c r="C64" s="6" t="str">
        <f ca="1">IFERROR(__xludf.DUMMYFUNCTION("""COMPUTED_VALUE"""),"T")</f>
        <v>T</v>
      </c>
      <c r="D64" s="6" t="str">
        <f ca="1">IFERROR(__xludf.DUMMYFUNCTION("""COMPUTED_VALUE"""),"50m lamades H7")</f>
        <v>50m lamades H7</v>
      </c>
      <c r="E64" s="6" t="str">
        <f ca="1">IFERROR(__xludf.DUMMYFUNCTION("""COMPUTED_VALUE"""),"Individuaalne")</f>
        <v>Individuaalne</v>
      </c>
      <c r="F64" s="6" t="str">
        <f ca="1">IFERROR(__xludf.DUMMYFUNCTION("""COMPUTED_VALUE"""),"10.09.23")</f>
        <v>10.09.23</v>
      </c>
      <c r="G64" s="6">
        <f ca="1">IFERROR(__xludf.DUMMYFUNCTION("""COMPUTED_VALUE"""),91)</f>
        <v>91</v>
      </c>
      <c r="H64" s="6">
        <f ca="1">IFERROR(__xludf.DUMMYFUNCTION("""COMPUTED_VALUE"""),98.9)</f>
        <v>98.9</v>
      </c>
      <c r="I64" s="6">
        <f ca="1">IFERROR(__xludf.DUMMYFUNCTION("""COMPUTED_VALUE"""),89.2)</f>
        <v>89.2</v>
      </c>
      <c r="J64" s="6"/>
      <c r="K64" s="6"/>
      <c r="L64" s="6"/>
      <c r="M64" s="6">
        <f ca="1">IFERROR(__xludf.DUMMYFUNCTION("""COMPUTED_VALUE"""),279.1)</f>
        <v>279.10000000000002</v>
      </c>
      <c r="N64" s="6"/>
    </row>
    <row r="65" spans="1:14" ht="12.75">
      <c r="A65" s="6" t="str">
        <f ca="1">IFERROR(__xludf.DUMMYFUNCTION("""COMPUTED_VALUE"""),"Rudolf Leetsaar")</f>
        <v>Rudolf Leetsaar</v>
      </c>
      <c r="B65" s="6" t="str">
        <f ca="1">IFERROR(__xludf.DUMMYFUNCTION("""COMPUTED_VALUE"""),"Tartu")</f>
        <v>Tartu</v>
      </c>
      <c r="C65" s="6" t="str">
        <f ca="1">IFERROR(__xludf.DUMMYFUNCTION("""COMPUTED_VALUE"""),"P")</f>
        <v>P</v>
      </c>
      <c r="D65" s="6" t="str">
        <f ca="1">IFERROR(__xludf.DUMMYFUNCTION("""COMPUTED_VALUE"""),"50m lamades H7")</f>
        <v>50m lamades H7</v>
      </c>
      <c r="E65" s="6" t="str">
        <f ca="1">IFERROR(__xludf.DUMMYFUNCTION("""COMPUTED_VALUE"""),"Võistkond")</f>
        <v>Võistkond</v>
      </c>
      <c r="F65" s="6" t="str">
        <f ca="1">IFERROR(__xludf.DUMMYFUNCTION("""COMPUTED_VALUE"""),"10.09.23")</f>
        <v>10.09.23</v>
      </c>
      <c r="G65" s="6">
        <f ca="1">IFERROR(__xludf.DUMMYFUNCTION("""COMPUTED_VALUE"""),86.9)</f>
        <v>86.9</v>
      </c>
      <c r="H65" s="6">
        <f ca="1">IFERROR(__xludf.DUMMYFUNCTION("""COMPUTED_VALUE"""),98.5)</f>
        <v>98.5</v>
      </c>
      <c r="I65" s="6">
        <f ca="1">IFERROR(__xludf.DUMMYFUNCTION("""COMPUTED_VALUE"""),93.5)</f>
        <v>93.5</v>
      </c>
      <c r="J65" s="6"/>
      <c r="K65" s="6"/>
      <c r="L65" s="6"/>
      <c r="M65" s="6">
        <f ca="1">IFERROR(__xludf.DUMMYFUNCTION("""COMPUTED_VALUE"""),278.9)</f>
        <v>278.89999999999998</v>
      </c>
      <c r="N65" s="6">
        <f ca="1">IFERROR(__xludf.DUMMYFUNCTION("""COMPUTED_VALUE"""),278.9)</f>
        <v>278.89999999999998</v>
      </c>
    </row>
    <row r="66" spans="1:14" ht="12.75">
      <c r="A66" s="6" t="str">
        <f ca="1">IFERROR(__xludf.DUMMYFUNCTION("""COMPUTED_VALUE"""),"Alexia Klis")</f>
        <v>Alexia Klis</v>
      </c>
      <c r="B66" s="6" t="str">
        <f ca="1">IFERROR(__xludf.DUMMYFUNCTION("""COMPUTED_VALUE"""),"Lääne")</f>
        <v>Lääne</v>
      </c>
      <c r="C66" s="6" t="str">
        <f ca="1">IFERROR(__xludf.DUMMYFUNCTION("""COMPUTED_VALUE"""),"T")</f>
        <v>T</v>
      </c>
      <c r="D66" s="6" t="str">
        <f ca="1">IFERROR(__xludf.DUMMYFUNCTION("""COMPUTED_VALUE"""),"50m lamades H7")</f>
        <v>50m lamades H7</v>
      </c>
      <c r="E66" s="6" t="str">
        <f ca="1">IFERROR(__xludf.DUMMYFUNCTION("""COMPUTED_VALUE"""),"Võistkond")</f>
        <v>Võistkond</v>
      </c>
      <c r="F66" s="6" t="str">
        <f ca="1">IFERROR(__xludf.DUMMYFUNCTION("""COMPUTED_VALUE"""),"10.09.23")</f>
        <v>10.09.23</v>
      </c>
      <c r="G66" s="6">
        <f ca="1">IFERROR(__xludf.DUMMYFUNCTION("""COMPUTED_VALUE"""),95.2)</f>
        <v>95.2</v>
      </c>
      <c r="H66" s="6">
        <f ca="1">IFERROR(__xludf.DUMMYFUNCTION("""COMPUTED_VALUE"""),91)</f>
        <v>91</v>
      </c>
      <c r="I66" s="6">
        <f ca="1">IFERROR(__xludf.DUMMYFUNCTION("""COMPUTED_VALUE"""),92.6)</f>
        <v>92.6</v>
      </c>
      <c r="J66" s="6"/>
      <c r="K66" s="6"/>
      <c r="L66" s="6"/>
      <c r="M66" s="6">
        <f ca="1">IFERROR(__xludf.DUMMYFUNCTION("""COMPUTED_VALUE"""),278.799999999999)</f>
        <v>278.79999999999899</v>
      </c>
      <c r="N66" s="6">
        <f ca="1">IFERROR(__xludf.DUMMYFUNCTION("""COMPUTED_VALUE"""),278.799999999999)</f>
        <v>278.79999999999899</v>
      </c>
    </row>
    <row r="67" spans="1:14" ht="12.75">
      <c r="A67" s="6" t="str">
        <f ca="1">IFERROR(__xludf.DUMMYFUNCTION("""COMPUTED_VALUE"""),"Kaisa-Liisa Lepa")</f>
        <v>Kaisa-Liisa Lepa</v>
      </c>
      <c r="B67" s="6" t="str">
        <f ca="1">IFERROR(__xludf.DUMMYFUNCTION("""COMPUTED_VALUE"""),"Sakala")</f>
        <v>Sakala</v>
      </c>
      <c r="C67" s="6" t="str">
        <f ca="1">IFERROR(__xludf.DUMMYFUNCTION("""COMPUTED_VALUE"""),"T")</f>
        <v>T</v>
      </c>
      <c r="D67" s="6" t="str">
        <f ca="1">IFERROR(__xludf.DUMMYFUNCTION("""COMPUTED_VALUE"""),"50m lamades H7")</f>
        <v>50m lamades H7</v>
      </c>
      <c r="E67" s="6" t="str">
        <f ca="1">IFERROR(__xludf.DUMMYFUNCTION("""COMPUTED_VALUE"""),"Võistkond")</f>
        <v>Võistkond</v>
      </c>
      <c r="F67" s="6" t="str">
        <f ca="1">IFERROR(__xludf.DUMMYFUNCTION("""COMPUTED_VALUE"""),"10.09.23")</f>
        <v>10.09.23</v>
      </c>
      <c r="G67" s="6">
        <f ca="1">IFERROR(__xludf.DUMMYFUNCTION("""COMPUTED_VALUE"""),90.9)</f>
        <v>90.9</v>
      </c>
      <c r="H67" s="6">
        <f ca="1">IFERROR(__xludf.DUMMYFUNCTION("""COMPUTED_VALUE"""),91)</f>
        <v>91</v>
      </c>
      <c r="I67" s="6">
        <f ca="1">IFERROR(__xludf.DUMMYFUNCTION("""COMPUTED_VALUE"""),95.1)</f>
        <v>95.1</v>
      </c>
      <c r="J67" s="6"/>
      <c r="K67" s="6"/>
      <c r="L67" s="6"/>
      <c r="M67" s="6">
        <f ca="1">IFERROR(__xludf.DUMMYFUNCTION("""COMPUTED_VALUE"""),277)</f>
        <v>277</v>
      </c>
      <c r="N67" s="6">
        <f ca="1">IFERROR(__xludf.DUMMYFUNCTION("""COMPUTED_VALUE"""),277)</f>
        <v>277</v>
      </c>
    </row>
    <row r="68" spans="1:14" ht="12.75">
      <c r="A68" s="6" t="str">
        <f ca="1">IFERROR(__xludf.DUMMYFUNCTION("""COMPUTED_VALUE"""),"Carmen Kägo")</f>
        <v>Carmen Kägo</v>
      </c>
      <c r="B68" s="6" t="str">
        <f ca="1">IFERROR(__xludf.DUMMYFUNCTION("""COMPUTED_VALUE"""),"Põlva")</f>
        <v>Põlva</v>
      </c>
      <c r="C68" s="6" t="str">
        <f ca="1">IFERROR(__xludf.DUMMYFUNCTION("""COMPUTED_VALUE"""),"N")</f>
        <v>N</v>
      </c>
      <c r="D68" s="6" t="str">
        <f ca="1">IFERROR(__xludf.DUMMYFUNCTION("""COMPUTED_VALUE"""),"50m lamades H7")</f>
        <v>50m lamades H7</v>
      </c>
      <c r="E68" s="6" t="str">
        <f ca="1">IFERROR(__xludf.DUMMYFUNCTION("""COMPUTED_VALUE"""),"Võistkond")</f>
        <v>Võistkond</v>
      </c>
      <c r="F68" s="6" t="str">
        <f ca="1">IFERROR(__xludf.DUMMYFUNCTION("""COMPUTED_VALUE"""),"10.09.23")</f>
        <v>10.09.23</v>
      </c>
      <c r="G68" s="6">
        <f ca="1">IFERROR(__xludf.DUMMYFUNCTION("""COMPUTED_VALUE"""),86.1)</f>
        <v>86.1</v>
      </c>
      <c r="H68" s="6">
        <f ca="1">IFERROR(__xludf.DUMMYFUNCTION("""COMPUTED_VALUE"""),97.6)</f>
        <v>97.6</v>
      </c>
      <c r="I68" s="6">
        <f ca="1">IFERROR(__xludf.DUMMYFUNCTION("""COMPUTED_VALUE"""),93.2)</f>
        <v>93.2</v>
      </c>
      <c r="J68" s="6"/>
      <c r="K68" s="6"/>
      <c r="L68" s="6"/>
      <c r="M68" s="6">
        <f ca="1">IFERROR(__xludf.DUMMYFUNCTION("""COMPUTED_VALUE"""),276.9)</f>
        <v>276.89999999999998</v>
      </c>
      <c r="N68" s="6">
        <f ca="1">IFERROR(__xludf.DUMMYFUNCTION("""COMPUTED_VALUE"""),276.9)</f>
        <v>276.89999999999998</v>
      </c>
    </row>
    <row r="69" spans="1:14" ht="12.75">
      <c r="A69" s="6" t="str">
        <f ca="1">IFERROR(__xludf.DUMMYFUNCTION("""COMPUTED_VALUE"""),"Rebeka Stimmer")</f>
        <v>Rebeka Stimmer</v>
      </c>
      <c r="B69" s="6" t="str">
        <f ca="1">IFERROR(__xludf.DUMMYFUNCTION("""COMPUTED_VALUE"""),"Rapla")</f>
        <v>Rapla</v>
      </c>
      <c r="C69" s="6" t="str">
        <f ca="1">IFERROR(__xludf.DUMMYFUNCTION("""COMPUTED_VALUE"""),"T")</f>
        <v>T</v>
      </c>
      <c r="D69" s="6" t="str">
        <f ca="1">IFERROR(__xludf.DUMMYFUNCTION("""COMPUTED_VALUE"""),"50m lamades H7")</f>
        <v>50m lamades H7</v>
      </c>
      <c r="E69" s="6" t="str">
        <f ca="1">IFERROR(__xludf.DUMMYFUNCTION("""COMPUTED_VALUE"""),"Võistkond")</f>
        <v>Võistkond</v>
      </c>
      <c r="F69" s="6" t="str">
        <f ca="1">IFERROR(__xludf.DUMMYFUNCTION("""COMPUTED_VALUE"""),"10.09.23")</f>
        <v>10.09.23</v>
      </c>
      <c r="G69" s="6">
        <f ca="1">IFERROR(__xludf.DUMMYFUNCTION("""COMPUTED_VALUE"""),88.3)</f>
        <v>88.3</v>
      </c>
      <c r="H69" s="6">
        <f ca="1">IFERROR(__xludf.DUMMYFUNCTION("""COMPUTED_VALUE"""),94.8)</f>
        <v>94.8</v>
      </c>
      <c r="I69" s="6">
        <f ca="1">IFERROR(__xludf.DUMMYFUNCTION("""COMPUTED_VALUE"""),93.2)</f>
        <v>93.2</v>
      </c>
      <c r="J69" s="6"/>
      <c r="K69" s="6"/>
      <c r="L69" s="6"/>
      <c r="M69" s="6">
        <f ca="1">IFERROR(__xludf.DUMMYFUNCTION("""COMPUTED_VALUE"""),276.3)</f>
        <v>276.3</v>
      </c>
      <c r="N69" s="6">
        <f ca="1">IFERROR(__xludf.DUMMYFUNCTION("""COMPUTED_VALUE"""),276.3)</f>
        <v>276.3</v>
      </c>
    </row>
    <row r="70" spans="1:14" ht="12.75">
      <c r="A70" s="6" t="str">
        <f ca="1">IFERROR(__xludf.DUMMYFUNCTION("""COMPUTED_VALUE"""),"Piret Saul")</f>
        <v>Piret Saul</v>
      </c>
      <c r="B70" s="6" t="str">
        <f ca="1">IFERROR(__xludf.DUMMYFUNCTION("""COMPUTED_VALUE"""),"Järva")</f>
        <v>Järva</v>
      </c>
      <c r="C70" s="6" t="str">
        <f ca="1">IFERROR(__xludf.DUMMYFUNCTION("""COMPUTED_VALUE"""),"N")</f>
        <v>N</v>
      </c>
      <c r="D70" s="6" t="str">
        <f ca="1">IFERROR(__xludf.DUMMYFUNCTION("""COMPUTED_VALUE"""),"50m lamades H7")</f>
        <v>50m lamades H7</v>
      </c>
      <c r="E70" s="6" t="str">
        <f ca="1">IFERROR(__xludf.DUMMYFUNCTION("""COMPUTED_VALUE"""),"Võistkond")</f>
        <v>Võistkond</v>
      </c>
      <c r="F70" s="6" t="str">
        <f ca="1">IFERROR(__xludf.DUMMYFUNCTION("""COMPUTED_VALUE"""),"09.09.23")</f>
        <v>09.09.23</v>
      </c>
      <c r="G70" s="6">
        <f ca="1">IFERROR(__xludf.DUMMYFUNCTION("""COMPUTED_VALUE"""),94.5)</f>
        <v>94.5</v>
      </c>
      <c r="H70" s="6">
        <f ca="1">IFERROR(__xludf.DUMMYFUNCTION("""COMPUTED_VALUE"""),96.3)</f>
        <v>96.3</v>
      </c>
      <c r="I70" s="6">
        <f ca="1">IFERROR(__xludf.DUMMYFUNCTION("""COMPUTED_VALUE"""),85.3)</f>
        <v>85.3</v>
      </c>
      <c r="J70" s="6"/>
      <c r="K70" s="6"/>
      <c r="L70" s="6"/>
      <c r="M70" s="6">
        <f ca="1">IFERROR(__xludf.DUMMYFUNCTION("""COMPUTED_VALUE"""),276.1)</f>
        <v>276.10000000000002</v>
      </c>
      <c r="N70" s="6">
        <f ca="1">IFERROR(__xludf.DUMMYFUNCTION("""COMPUTED_VALUE"""),276.1)</f>
        <v>276.10000000000002</v>
      </c>
    </row>
    <row r="71" spans="1:14" ht="12.75">
      <c r="A71" s="6" t="str">
        <f ca="1">IFERROR(__xludf.DUMMYFUNCTION("""COMPUTED_VALUE"""),"Reimo Jürjo")</f>
        <v>Reimo Jürjo</v>
      </c>
      <c r="B71" s="6" t="str">
        <f ca="1">IFERROR(__xludf.DUMMYFUNCTION("""COMPUTED_VALUE"""),"Sakala")</f>
        <v>Sakala</v>
      </c>
      <c r="C71" s="6" t="str">
        <f ca="1">IFERROR(__xludf.DUMMYFUNCTION("""COMPUTED_VALUE"""),"MJ")</f>
        <v>MJ</v>
      </c>
      <c r="D71" s="6" t="str">
        <f ca="1">IFERROR(__xludf.DUMMYFUNCTION("""COMPUTED_VALUE"""),"50m lamades H7")</f>
        <v>50m lamades H7</v>
      </c>
      <c r="E71" s="6" t="str">
        <f ca="1">IFERROR(__xludf.DUMMYFUNCTION("""COMPUTED_VALUE"""),"Võistkond")</f>
        <v>Võistkond</v>
      </c>
      <c r="F71" s="6" t="str">
        <f ca="1">IFERROR(__xludf.DUMMYFUNCTION("""COMPUTED_VALUE"""),"10.09.23")</f>
        <v>10.09.23</v>
      </c>
      <c r="G71" s="6">
        <f ca="1">IFERROR(__xludf.DUMMYFUNCTION("""COMPUTED_VALUE"""),94.1)</f>
        <v>94.1</v>
      </c>
      <c r="H71" s="6">
        <f ca="1">IFERROR(__xludf.DUMMYFUNCTION("""COMPUTED_VALUE"""),94.2)</f>
        <v>94.2</v>
      </c>
      <c r="I71" s="6">
        <f ca="1">IFERROR(__xludf.DUMMYFUNCTION("""COMPUTED_VALUE"""),87.5)</f>
        <v>87.5</v>
      </c>
      <c r="J71" s="6"/>
      <c r="K71" s="6"/>
      <c r="L71" s="6"/>
      <c r="M71" s="6">
        <f ca="1">IFERROR(__xludf.DUMMYFUNCTION("""COMPUTED_VALUE"""),275.8)</f>
        <v>275.8</v>
      </c>
      <c r="N71" s="6">
        <f ca="1">IFERROR(__xludf.DUMMYFUNCTION("""COMPUTED_VALUE"""),275.8)</f>
        <v>275.8</v>
      </c>
    </row>
    <row r="72" spans="1:14" ht="12.75">
      <c r="A72" s="6" t="str">
        <f ca="1">IFERROR(__xludf.DUMMYFUNCTION("""COMPUTED_VALUE"""),"Tarmo Kuusepalu")</f>
        <v>Tarmo Kuusepalu</v>
      </c>
      <c r="B72" s="6" t="str">
        <f ca="1">IFERROR(__xludf.DUMMYFUNCTION("""COMPUTED_VALUE"""),"Tallinn")</f>
        <v>Tallinn</v>
      </c>
      <c r="C72" s="6" t="str">
        <f ca="1">IFERROR(__xludf.DUMMYFUNCTION("""COMPUTED_VALUE"""),"M")</f>
        <v>M</v>
      </c>
      <c r="D72" s="6" t="str">
        <f ca="1">IFERROR(__xludf.DUMMYFUNCTION("""COMPUTED_VALUE"""),"50m lamades H7")</f>
        <v>50m lamades H7</v>
      </c>
      <c r="E72" s="6" t="str">
        <f ca="1">IFERROR(__xludf.DUMMYFUNCTION("""COMPUTED_VALUE"""),"Individuaalne")</f>
        <v>Individuaalne</v>
      </c>
      <c r="F72" s="6" t="str">
        <f ca="1">IFERROR(__xludf.DUMMYFUNCTION("""COMPUTED_VALUE"""),"09.09.23")</f>
        <v>09.09.23</v>
      </c>
      <c r="G72" s="6">
        <f ca="1">IFERROR(__xludf.DUMMYFUNCTION("""COMPUTED_VALUE"""),92.5)</f>
        <v>92.5</v>
      </c>
      <c r="H72" s="6">
        <f ca="1">IFERROR(__xludf.DUMMYFUNCTION("""COMPUTED_VALUE"""),92.4)</f>
        <v>92.4</v>
      </c>
      <c r="I72" s="6">
        <f ca="1">IFERROR(__xludf.DUMMYFUNCTION("""COMPUTED_VALUE"""),90.7)</f>
        <v>90.7</v>
      </c>
      <c r="J72" s="6"/>
      <c r="K72" s="6"/>
      <c r="L72" s="6"/>
      <c r="M72" s="6">
        <f ca="1">IFERROR(__xludf.DUMMYFUNCTION("""COMPUTED_VALUE"""),275.6)</f>
        <v>275.60000000000002</v>
      </c>
      <c r="N72" s="6"/>
    </row>
    <row r="73" spans="1:14" ht="12.75">
      <c r="A73" s="6" t="str">
        <f ca="1">IFERROR(__xludf.DUMMYFUNCTION("""COMPUTED_VALUE"""),"Tirk Märss")</f>
        <v>Tirk Märss</v>
      </c>
      <c r="B73" s="6" t="str">
        <f ca="1">IFERROR(__xludf.DUMMYFUNCTION("""COMPUTED_VALUE"""),"Tallinn")</f>
        <v>Tallinn</v>
      </c>
      <c r="C73" s="6" t="str">
        <f ca="1">IFERROR(__xludf.DUMMYFUNCTION("""COMPUTED_VALUE"""),"MJ")</f>
        <v>MJ</v>
      </c>
      <c r="D73" s="6" t="str">
        <f ca="1">IFERROR(__xludf.DUMMYFUNCTION("""COMPUTED_VALUE"""),"50m lamades H7")</f>
        <v>50m lamades H7</v>
      </c>
      <c r="E73" s="6" t="str">
        <f ca="1">IFERROR(__xludf.DUMMYFUNCTION("""COMPUTED_VALUE"""),"Võistkond")</f>
        <v>Võistkond</v>
      </c>
      <c r="F73" s="6" t="str">
        <f ca="1">IFERROR(__xludf.DUMMYFUNCTION("""COMPUTED_VALUE"""),"09.09.23")</f>
        <v>09.09.23</v>
      </c>
      <c r="G73" s="6">
        <f ca="1">IFERROR(__xludf.DUMMYFUNCTION("""COMPUTED_VALUE"""),93.6)</f>
        <v>93.6</v>
      </c>
      <c r="H73" s="6">
        <f ca="1">IFERROR(__xludf.DUMMYFUNCTION("""COMPUTED_VALUE"""),87.6)</f>
        <v>87.6</v>
      </c>
      <c r="I73" s="6">
        <f ca="1">IFERROR(__xludf.DUMMYFUNCTION("""COMPUTED_VALUE"""),93)</f>
        <v>93</v>
      </c>
      <c r="J73" s="6"/>
      <c r="K73" s="6"/>
      <c r="L73" s="6"/>
      <c r="M73" s="6">
        <f ca="1">IFERROR(__xludf.DUMMYFUNCTION("""COMPUTED_VALUE"""),274.2)</f>
        <v>274.2</v>
      </c>
      <c r="N73" s="6">
        <f ca="1">IFERROR(__xludf.DUMMYFUNCTION("""COMPUTED_VALUE"""),274.2)</f>
        <v>274.2</v>
      </c>
    </row>
    <row r="74" spans="1:14" ht="12.75">
      <c r="A74" s="6" t="str">
        <f ca="1">IFERROR(__xludf.DUMMYFUNCTION("""COMPUTED_VALUE"""),"Katrin Kaarna")</f>
        <v>Katrin Kaarna</v>
      </c>
      <c r="B74" s="6" t="str">
        <f ca="1">IFERROR(__xludf.DUMMYFUNCTION("""COMPUTED_VALUE"""),"Võrumaa")</f>
        <v>Võrumaa</v>
      </c>
      <c r="C74" s="6" t="str">
        <f ca="1">IFERROR(__xludf.DUMMYFUNCTION("""COMPUTED_VALUE"""),"NJ")</f>
        <v>NJ</v>
      </c>
      <c r="D74" s="6" t="str">
        <f ca="1">IFERROR(__xludf.DUMMYFUNCTION("""COMPUTED_VALUE"""),"50m lamades H7")</f>
        <v>50m lamades H7</v>
      </c>
      <c r="E74" s="6" t="str">
        <f ca="1">IFERROR(__xludf.DUMMYFUNCTION("""COMPUTED_VALUE"""),"Võistkond")</f>
        <v>Võistkond</v>
      </c>
      <c r="F74" s="6" t="str">
        <f ca="1">IFERROR(__xludf.DUMMYFUNCTION("""COMPUTED_VALUE"""),"10.09.23")</f>
        <v>10.09.23</v>
      </c>
      <c r="G74" s="6">
        <f ca="1">IFERROR(__xludf.DUMMYFUNCTION("""COMPUTED_VALUE"""),93.6)</f>
        <v>93.6</v>
      </c>
      <c r="H74" s="6">
        <f ca="1">IFERROR(__xludf.DUMMYFUNCTION("""COMPUTED_VALUE"""),88.4)</f>
        <v>88.4</v>
      </c>
      <c r="I74" s="6">
        <f ca="1">IFERROR(__xludf.DUMMYFUNCTION("""COMPUTED_VALUE"""),91.4)</f>
        <v>91.4</v>
      </c>
      <c r="J74" s="6"/>
      <c r="K74" s="6"/>
      <c r="L74" s="6"/>
      <c r="M74" s="6">
        <f ca="1">IFERROR(__xludf.DUMMYFUNCTION("""COMPUTED_VALUE"""),273.4)</f>
        <v>273.39999999999998</v>
      </c>
      <c r="N74" s="6">
        <f ca="1">IFERROR(__xludf.DUMMYFUNCTION("""COMPUTED_VALUE"""),273.4)</f>
        <v>273.39999999999998</v>
      </c>
    </row>
    <row r="75" spans="1:14" ht="12.75">
      <c r="A75" s="6" t="str">
        <f ca="1">IFERROR(__xludf.DUMMYFUNCTION("""COMPUTED_VALUE"""),"Angelika Kasesalu")</f>
        <v>Angelika Kasesalu</v>
      </c>
      <c r="B75" s="6" t="str">
        <f ca="1">IFERROR(__xludf.DUMMYFUNCTION("""COMPUTED_VALUE"""),"Pärnumaa")</f>
        <v>Pärnumaa</v>
      </c>
      <c r="C75" s="6" t="str">
        <f ca="1">IFERROR(__xludf.DUMMYFUNCTION("""COMPUTED_VALUE"""),"T")</f>
        <v>T</v>
      </c>
      <c r="D75" s="6" t="str">
        <f ca="1">IFERROR(__xludf.DUMMYFUNCTION("""COMPUTED_VALUE"""),"50m lamades H7")</f>
        <v>50m lamades H7</v>
      </c>
      <c r="E75" s="6" t="str">
        <f ca="1">IFERROR(__xludf.DUMMYFUNCTION("""COMPUTED_VALUE"""),"Võistkond")</f>
        <v>Võistkond</v>
      </c>
      <c r="F75" s="6" t="str">
        <f ca="1">IFERROR(__xludf.DUMMYFUNCTION("""COMPUTED_VALUE"""),"09.09.23")</f>
        <v>09.09.23</v>
      </c>
      <c r="G75" s="6">
        <f ca="1">IFERROR(__xludf.DUMMYFUNCTION("""COMPUTED_VALUE"""),90)</f>
        <v>90</v>
      </c>
      <c r="H75" s="6">
        <f ca="1">IFERROR(__xludf.DUMMYFUNCTION("""COMPUTED_VALUE"""),96.2)</f>
        <v>96.2</v>
      </c>
      <c r="I75" s="6">
        <f ca="1">IFERROR(__xludf.DUMMYFUNCTION("""COMPUTED_VALUE"""),86.8)</f>
        <v>86.8</v>
      </c>
      <c r="J75" s="6"/>
      <c r="K75" s="6"/>
      <c r="L75" s="6"/>
      <c r="M75" s="6">
        <f ca="1">IFERROR(__xludf.DUMMYFUNCTION("""COMPUTED_VALUE"""),273)</f>
        <v>273</v>
      </c>
      <c r="N75" s="6">
        <f ca="1">IFERROR(__xludf.DUMMYFUNCTION("""COMPUTED_VALUE"""),273)</f>
        <v>273</v>
      </c>
    </row>
    <row r="76" spans="1:14" ht="12.75">
      <c r="A76" s="6" t="str">
        <f ca="1">IFERROR(__xludf.DUMMYFUNCTION("""COMPUTED_VALUE"""),"Rivo Poltimäe")</f>
        <v>Rivo Poltimäe</v>
      </c>
      <c r="B76" s="6" t="str">
        <f ca="1">IFERROR(__xludf.DUMMYFUNCTION("""COMPUTED_VALUE"""),"Võrumaa")</f>
        <v>Võrumaa</v>
      </c>
      <c r="C76" s="6" t="str">
        <f ca="1">IFERROR(__xludf.DUMMYFUNCTION("""COMPUTED_VALUE"""),"M")</f>
        <v>M</v>
      </c>
      <c r="D76" s="6" t="str">
        <f ca="1">IFERROR(__xludf.DUMMYFUNCTION("""COMPUTED_VALUE"""),"50m lamades H7")</f>
        <v>50m lamades H7</v>
      </c>
      <c r="E76" s="6" t="str">
        <f ca="1">IFERROR(__xludf.DUMMYFUNCTION("""COMPUTED_VALUE"""),"Võistkond")</f>
        <v>Võistkond</v>
      </c>
      <c r="F76" s="6" t="str">
        <f ca="1">IFERROR(__xludf.DUMMYFUNCTION("""COMPUTED_VALUE"""),"10.09.23")</f>
        <v>10.09.23</v>
      </c>
      <c r="G76" s="6">
        <f ca="1">IFERROR(__xludf.DUMMYFUNCTION("""COMPUTED_VALUE"""),90)</f>
        <v>90</v>
      </c>
      <c r="H76" s="6">
        <f ca="1">IFERROR(__xludf.DUMMYFUNCTION("""COMPUTED_VALUE"""),94.2)</f>
        <v>94.2</v>
      </c>
      <c r="I76" s="6">
        <f ca="1">IFERROR(__xludf.DUMMYFUNCTION("""COMPUTED_VALUE"""),85.6)</f>
        <v>85.6</v>
      </c>
      <c r="J76" s="6"/>
      <c r="K76" s="6"/>
      <c r="L76" s="6"/>
      <c r="M76" s="6">
        <f ca="1">IFERROR(__xludf.DUMMYFUNCTION("""COMPUTED_VALUE"""),269.799999999999)</f>
        <v>269.79999999999899</v>
      </c>
      <c r="N76" s="6">
        <f ca="1">IFERROR(__xludf.DUMMYFUNCTION("""COMPUTED_VALUE"""),269.799999999999)</f>
        <v>269.79999999999899</v>
      </c>
    </row>
    <row r="77" spans="1:14" ht="12.75">
      <c r="A77" s="6" t="str">
        <f ca="1">IFERROR(__xludf.DUMMYFUNCTION("""COMPUTED_VALUE"""),"Nikita Abazin")</f>
        <v>Nikita Abazin</v>
      </c>
      <c r="B77" s="6" t="str">
        <f ca="1">IFERROR(__xludf.DUMMYFUNCTION("""COMPUTED_VALUE"""),"Viru")</f>
        <v>Viru</v>
      </c>
      <c r="C77" s="6" t="str">
        <f ca="1">IFERROR(__xludf.DUMMYFUNCTION("""COMPUTED_VALUE"""),"M")</f>
        <v>M</v>
      </c>
      <c r="D77" s="6" t="str">
        <f ca="1">IFERROR(__xludf.DUMMYFUNCTION("""COMPUTED_VALUE"""),"50m lamades H7")</f>
        <v>50m lamades H7</v>
      </c>
      <c r="E77" s="6" t="str">
        <f ca="1">IFERROR(__xludf.DUMMYFUNCTION("""COMPUTED_VALUE"""),"Võistkond")</f>
        <v>Võistkond</v>
      </c>
      <c r="F77" s="6" t="str">
        <f ca="1">IFERROR(__xludf.DUMMYFUNCTION("""COMPUTED_VALUE"""),"10.09.23")</f>
        <v>10.09.23</v>
      </c>
      <c r="G77" s="6">
        <f ca="1">IFERROR(__xludf.DUMMYFUNCTION("""COMPUTED_VALUE"""),91.5)</f>
        <v>91.5</v>
      </c>
      <c r="H77" s="6">
        <f ca="1">IFERROR(__xludf.DUMMYFUNCTION("""COMPUTED_VALUE"""),92.5)</f>
        <v>92.5</v>
      </c>
      <c r="I77" s="6">
        <f ca="1">IFERROR(__xludf.DUMMYFUNCTION("""COMPUTED_VALUE"""),82.4)</f>
        <v>82.4</v>
      </c>
      <c r="J77" s="6"/>
      <c r="K77" s="6"/>
      <c r="L77" s="6"/>
      <c r="M77" s="6">
        <f ca="1">IFERROR(__xludf.DUMMYFUNCTION("""COMPUTED_VALUE"""),266.4)</f>
        <v>266.39999999999998</v>
      </c>
      <c r="N77" s="6">
        <f ca="1">IFERROR(__xludf.DUMMYFUNCTION("""COMPUTED_VALUE"""),266.4)</f>
        <v>266.39999999999998</v>
      </c>
    </row>
    <row r="78" spans="1:14" ht="12.75">
      <c r="A78" s="6" t="str">
        <f ca="1">IFERROR(__xludf.DUMMYFUNCTION("""COMPUTED_VALUE"""),"Riste-Helene Pard")</f>
        <v>Riste-Helene Pard</v>
      </c>
      <c r="B78" s="6" t="str">
        <f ca="1">IFERROR(__xludf.DUMMYFUNCTION("""COMPUTED_VALUE"""),"Järva")</f>
        <v>Järva</v>
      </c>
      <c r="C78" s="6" t="str">
        <f ca="1">IFERROR(__xludf.DUMMYFUNCTION("""COMPUTED_VALUE"""),"NJ")</f>
        <v>NJ</v>
      </c>
      <c r="D78" s="6" t="str">
        <f ca="1">IFERROR(__xludf.DUMMYFUNCTION("""COMPUTED_VALUE"""),"50m lamades H7")</f>
        <v>50m lamades H7</v>
      </c>
      <c r="E78" s="6" t="str">
        <f ca="1">IFERROR(__xludf.DUMMYFUNCTION("""COMPUTED_VALUE"""),"Võistkond")</f>
        <v>Võistkond</v>
      </c>
      <c r="F78" s="6" t="str">
        <f ca="1">IFERROR(__xludf.DUMMYFUNCTION("""COMPUTED_VALUE"""),"09.09.23")</f>
        <v>09.09.23</v>
      </c>
      <c r="G78" s="6">
        <f ca="1">IFERROR(__xludf.DUMMYFUNCTION("""COMPUTED_VALUE"""),85.8)</f>
        <v>85.8</v>
      </c>
      <c r="H78" s="6">
        <f ca="1">IFERROR(__xludf.DUMMYFUNCTION("""COMPUTED_VALUE"""),86.5)</f>
        <v>86.5</v>
      </c>
      <c r="I78" s="6">
        <f ca="1">IFERROR(__xludf.DUMMYFUNCTION("""COMPUTED_VALUE"""),90.2)</f>
        <v>90.2</v>
      </c>
      <c r="J78" s="6"/>
      <c r="K78" s="6"/>
      <c r="L78" s="6"/>
      <c r="M78" s="6">
        <f ca="1">IFERROR(__xludf.DUMMYFUNCTION("""COMPUTED_VALUE"""),262.5)</f>
        <v>262.5</v>
      </c>
      <c r="N78" s="6">
        <f ca="1">IFERROR(__xludf.DUMMYFUNCTION("""COMPUTED_VALUE"""),262.5)</f>
        <v>262.5</v>
      </c>
    </row>
    <row r="79" spans="1:14" ht="12.75">
      <c r="A79" s="6" t="str">
        <f ca="1">IFERROR(__xludf.DUMMYFUNCTION("""COMPUTED_VALUE"""),"Jaanus Nõmmisto")</f>
        <v>Jaanus Nõmmisto</v>
      </c>
      <c r="B79" s="6" t="str">
        <f ca="1">IFERROR(__xludf.DUMMYFUNCTION("""COMPUTED_VALUE"""),"Lääne")</f>
        <v>Lääne</v>
      </c>
      <c r="C79" s="6" t="str">
        <f ca="1">IFERROR(__xludf.DUMMYFUNCTION("""COMPUTED_VALUE"""),"M")</f>
        <v>M</v>
      </c>
      <c r="D79" s="6" t="str">
        <f ca="1">IFERROR(__xludf.DUMMYFUNCTION("""COMPUTED_VALUE"""),"50m lamades H7")</f>
        <v>50m lamades H7</v>
      </c>
      <c r="E79" s="6" t="str">
        <f ca="1">IFERROR(__xludf.DUMMYFUNCTION("""COMPUTED_VALUE"""),"Võistkond")</f>
        <v>Võistkond</v>
      </c>
      <c r="F79" s="6" t="str">
        <f ca="1">IFERROR(__xludf.DUMMYFUNCTION("""COMPUTED_VALUE"""),"10.09.23")</f>
        <v>10.09.23</v>
      </c>
      <c r="G79" s="6">
        <f ca="1">IFERROR(__xludf.DUMMYFUNCTION("""COMPUTED_VALUE"""),90.8)</f>
        <v>90.8</v>
      </c>
      <c r="H79" s="6">
        <f ca="1">IFERROR(__xludf.DUMMYFUNCTION("""COMPUTED_VALUE"""),87.5)</f>
        <v>87.5</v>
      </c>
      <c r="I79" s="6">
        <f ca="1">IFERROR(__xludf.DUMMYFUNCTION("""COMPUTED_VALUE"""),83.1)</f>
        <v>83.1</v>
      </c>
      <c r="J79" s="6"/>
      <c r="K79" s="6"/>
      <c r="L79" s="6"/>
      <c r="M79" s="6">
        <f ca="1">IFERROR(__xludf.DUMMYFUNCTION("""COMPUTED_VALUE"""),261.4)</f>
        <v>261.39999999999998</v>
      </c>
      <c r="N79" s="6">
        <f ca="1">IFERROR(__xludf.DUMMYFUNCTION("""COMPUTED_VALUE"""),261.4)</f>
        <v>261.39999999999998</v>
      </c>
    </row>
    <row r="80" spans="1:14" ht="12.75">
      <c r="A80" s="6" t="str">
        <f ca="1">IFERROR(__xludf.DUMMYFUNCTION("""COMPUTED_VALUE"""),"Karmo Kosk")</f>
        <v>Karmo Kosk</v>
      </c>
      <c r="B80" s="6" t="str">
        <f ca="1">IFERROR(__xludf.DUMMYFUNCTION("""COMPUTED_VALUE"""),"Põlva")</f>
        <v>Põlva</v>
      </c>
      <c r="C80" s="6" t="str">
        <f ca="1">IFERROR(__xludf.DUMMYFUNCTION("""COMPUTED_VALUE"""),"MJ")</f>
        <v>MJ</v>
      </c>
      <c r="D80" s="6" t="str">
        <f ca="1">IFERROR(__xludf.DUMMYFUNCTION("""COMPUTED_VALUE"""),"50m lamades H7")</f>
        <v>50m lamades H7</v>
      </c>
      <c r="E80" s="6" t="str">
        <f ca="1">IFERROR(__xludf.DUMMYFUNCTION("""COMPUTED_VALUE"""),"Võistkond")</f>
        <v>Võistkond</v>
      </c>
      <c r="F80" s="6" t="str">
        <f ca="1">IFERROR(__xludf.DUMMYFUNCTION("""COMPUTED_VALUE"""),"10.09.23")</f>
        <v>10.09.23</v>
      </c>
      <c r="G80" s="6">
        <f ca="1">IFERROR(__xludf.DUMMYFUNCTION("""COMPUTED_VALUE"""),86.3)</f>
        <v>86.3</v>
      </c>
      <c r="H80" s="6">
        <f ca="1">IFERROR(__xludf.DUMMYFUNCTION("""COMPUTED_VALUE"""),85.1)</f>
        <v>85.1</v>
      </c>
      <c r="I80" s="6">
        <f ca="1">IFERROR(__xludf.DUMMYFUNCTION("""COMPUTED_VALUE"""),88.5)</f>
        <v>88.5</v>
      </c>
      <c r="J80" s="6"/>
      <c r="K80" s="6"/>
      <c r="L80" s="6"/>
      <c r="M80" s="6">
        <f ca="1">IFERROR(__xludf.DUMMYFUNCTION("""COMPUTED_VALUE"""),259.9)</f>
        <v>259.89999999999998</v>
      </c>
      <c r="N80" s="6">
        <f ca="1">IFERROR(__xludf.DUMMYFUNCTION("""COMPUTED_VALUE"""),259.9)</f>
        <v>259.89999999999998</v>
      </c>
    </row>
    <row r="81" spans="1:15" ht="12.75">
      <c r="A81" s="6" t="str">
        <f ca="1">IFERROR(__xludf.DUMMYFUNCTION("""COMPUTED_VALUE"""),"Eliise Näks")</f>
        <v>Eliise Näks</v>
      </c>
      <c r="B81" s="6" t="str">
        <f ca="1">IFERROR(__xludf.DUMMYFUNCTION("""COMPUTED_VALUE"""),"Põlva")</f>
        <v>Põlva</v>
      </c>
      <c r="C81" s="6" t="str">
        <f ca="1">IFERROR(__xludf.DUMMYFUNCTION("""COMPUTED_VALUE"""),"T")</f>
        <v>T</v>
      </c>
      <c r="D81" s="6" t="str">
        <f ca="1">IFERROR(__xludf.DUMMYFUNCTION("""COMPUTED_VALUE"""),"50m lamades H7")</f>
        <v>50m lamades H7</v>
      </c>
      <c r="E81" s="6" t="str">
        <f ca="1">IFERROR(__xludf.DUMMYFUNCTION("""COMPUTED_VALUE"""),"Võistkond")</f>
        <v>Võistkond</v>
      </c>
      <c r="F81" s="6" t="str">
        <f ca="1">IFERROR(__xludf.DUMMYFUNCTION("""COMPUTED_VALUE"""),"10.09.23")</f>
        <v>10.09.23</v>
      </c>
      <c r="G81" s="6">
        <f ca="1">IFERROR(__xludf.DUMMYFUNCTION("""COMPUTED_VALUE"""),86.4)</f>
        <v>86.4</v>
      </c>
      <c r="H81" s="6">
        <f ca="1">IFERROR(__xludf.DUMMYFUNCTION("""COMPUTED_VALUE"""),89.3)</f>
        <v>89.3</v>
      </c>
      <c r="I81" s="6">
        <f ca="1">IFERROR(__xludf.DUMMYFUNCTION("""COMPUTED_VALUE"""),83.3)</f>
        <v>83.3</v>
      </c>
      <c r="J81" s="6"/>
      <c r="K81" s="6"/>
      <c r="L81" s="6"/>
      <c r="M81" s="6">
        <f ca="1">IFERROR(__xludf.DUMMYFUNCTION("""COMPUTED_VALUE"""),259)</f>
        <v>259</v>
      </c>
      <c r="N81" s="6">
        <f ca="1">IFERROR(__xludf.DUMMYFUNCTION("""COMPUTED_VALUE"""),259)</f>
        <v>259</v>
      </c>
    </row>
    <row r="82" spans="1:15" ht="12.75">
      <c r="A82" s="6" t="str">
        <f ca="1">IFERROR(__xludf.DUMMYFUNCTION("""COMPUTED_VALUE"""),"Rasmus Vaikmets")</f>
        <v>Rasmus Vaikmets</v>
      </c>
      <c r="B82" s="6" t="str">
        <f ca="1">IFERROR(__xludf.DUMMYFUNCTION("""COMPUTED_VALUE"""),"Võrumaa")</f>
        <v>Võrumaa</v>
      </c>
      <c r="C82" s="6" t="str">
        <f ca="1">IFERROR(__xludf.DUMMYFUNCTION("""COMPUTED_VALUE"""),"P")</f>
        <v>P</v>
      </c>
      <c r="D82" s="6" t="str">
        <f ca="1">IFERROR(__xludf.DUMMYFUNCTION("""COMPUTED_VALUE"""),"50m lamades H7")</f>
        <v>50m lamades H7</v>
      </c>
      <c r="E82" s="6" t="str">
        <f ca="1">IFERROR(__xludf.DUMMYFUNCTION("""COMPUTED_VALUE"""),"Võistkond")</f>
        <v>Võistkond</v>
      </c>
      <c r="F82" s="6" t="str">
        <f ca="1">IFERROR(__xludf.DUMMYFUNCTION("""COMPUTED_VALUE"""),"10.09.23")</f>
        <v>10.09.23</v>
      </c>
      <c r="G82" s="6">
        <f ca="1">IFERROR(__xludf.DUMMYFUNCTION("""COMPUTED_VALUE"""),93.1)</f>
        <v>93.1</v>
      </c>
      <c r="H82" s="6">
        <f ca="1">IFERROR(__xludf.DUMMYFUNCTION("""COMPUTED_VALUE"""),84.6)</f>
        <v>84.6</v>
      </c>
      <c r="I82" s="6">
        <f ca="1">IFERROR(__xludf.DUMMYFUNCTION("""COMPUTED_VALUE"""),79.7)</f>
        <v>79.7</v>
      </c>
      <c r="J82" s="6"/>
      <c r="K82" s="6"/>
      <c r="L82" s="6"/>
      <c r="M82" s="6">
        <f ca="1">IFERROR(__xludf.DUMMYFUNCTION("""COMPUTED_VALUE"""),257.4)</f>
        <v>257.39999999999998</v>
      </c>
      <c r="N82" s="6">
        <f ca="1">IFERROR(__xludf.DUMMYFUNCTION("""COMPUTED_VALUE"""),257.4)</f>
        <v>257.39999999999998</v>
      </c>
    </row>
    <row r="83" spans="1:15" ht="12.75">
      <c r="A83" s="6" t="str">
        <f ca="1">IFERROR(__xludf.DUMMYFUNCTION("""COMPUTED_VALUE"""),"Mattias-Oliver Oja")</f>
        <v>Mattias-Oliver Oja</v>
      </c>
      <c r="B83" s="6" t="str">
        <f ca="1">IFERROR(__xludf.DUMMYFUNCTION("""COMPUTED_VALUE"""),"Võrumaa")</f>
        <v>Võrumaa</v>
      </c>
      <c r="C83" s="6" t="str">
        <f ca="1">IFERROR(__xludf.DUMMYFUNCTION("""COMPUTED_VALUE"""),"MJ")</f>
        <v>MJ</v>
      </c>
      <c r="D83" s="6" t="str">
        <f ca="1">IFERROR(__xludf.DUMMYFUNCTION("""COMPUTED_VALUE"""),"50m lamades H7")</f>
        <v>50m lamades H7</v>
      </c>
      <c r="E83" s="6" t="str">
        <f ca="1">IFERROR(__xludf.DUMMYFUNCTION("""COMPUTED_VALUE"""),"Võistkond")</f>
        <v>Võistkond</v>
      </c>
      <c r="F83" s="6" t="str">
        <f ca="1">IFERROR(__xludf.DUMMYFUNCTION("""COMPUTED_VALUE"""),"10.09.23")</f>
        <v>10.09.23</v>
      </c>
      <c r="G83" s="6">
        <f ca="1">IFERROR(__xludf.DUMMYFUNCTION("""COMPUTED_VALUE"""),85.8)</f>
        <v>85.8</v>
      </c>
      <c r="H83" s="6">
        <f ca="1">IFERROR(__xludf.DUMMYFUNCTION("""COMPUTED_VALUE"""),79.8)</f>
        <v>79.8</v>
      </c>
      <c r="I83" s="6">
        <f ca="1">IFERROR(__xludf.DUMMYFUNCTION("""COMPUTED_VALUE"""),84.4)</f>
        <v>84.4</v>
      </c>
      <c r="J83" s="6"/>
      <c r="K83" s="6"/>
      <c r="L83" s="6"/>
      <c r="M83" s="6">
        <f ca="1">IFERROR(__xludf.DUMMYFUNCTION("""COMPUTED_VALUE"""),250)</f>
        <v>250</v>
      </c>
      <c r="N83" s="6">
        <f ca="1">IFERROR(__xludf.DUMMYFUNCTION("""COMPUTED_VALUE"""),250)</f>
        <v>250</v>
      </c>
    </row>
    <row r="84" spans="1:15" ht="12.75">
      <c r="A84" s="6" t="str">
        <f ca="1">IFERROR(__xludf.DUMMYFUNCTION("""COMPUTED_VALUE"""),"Kaarin Veelaid")</f>
        <v>Kaarin Veelaid</v>
      </c>
      <c r="B84" s="6" t="str">
        <f ca="1">IFERROR(__xludf.DUMMYFUNCTION("""COMPUTED_VALUE"""),"Viru")</f>
        <v>Viru</v>
      </c>
      <c r="C84" s="6" t="str">
        <f ca="1">IFERROR(__xludf.DUMMYFUNCTION("""COMPUTED_VALUE"""),"T")</f>
        <v>T</v>
      </c>
      <c r="D84" s="6" t="str">
        <f ca="1">IFERROR(__xludf.DUMMYFUNCTION("""COMPUTED_VALUE"""),"50m lamades H7")</f>
        <v>50m lamades H7</v>
      </c>
      <c r="E84" s="6" t="str">
        <f ca="1">IFERROR(__xludf.DUMMYFUNCTION("""COMPUTED_VALUE"""),"Võistkond")</f>
        <v>Võistkond</v>
      </c>
      <c r="F84" s="6" t="str">
        <f ca="1">IFERROR(__xludf.DUMMYFUNCTION("""COMPUTED_VALUE"""),"10.09.23")</f>
        <v>10.09.23</v>
      </c>
      <c r="G84" s="6">
        <f ca="1">IFERROR(__xludf.DUMMYFUNCTION("""COMPUTED_VALUE"""),80.2)</f>
        <v>80.2</v>
      </c>
      <c r="H84" s="6">
        <f ca="1">IFERROR(__xludf.DUMMYFUNCTION("""COMPUTED_VALUE"""),81.1)</f>
        <v>81.099999999999994</v>
      </c>
      <c r="I84" s="6">
        <f ca="1">IFERROR(__xludf.DUMMYFUNCTION("""COMPUTED_VALUE"""),73.8)</f>
        <v>73.8</v>
      </c>
      <c r="J84" s="6"/>
      <c r="K84" s="6"/>
      <c r="L84" s="6"/>
      <c r="M84" s="6">
        <f ca="1">IFERROR(__xludf.DUMMYFUNCTION("""COMPUTED_VALUE"""),235.1)</f>
        <v>235.1</v>
      </c>
      <c r="N84" s="6">
        <f ca="1">IFERROR(__xludf.DUMMYFUNCTION("""COMPUTED_VALUE"""),235.1)</f>
        <v>235.1</v>
      </c>
    </row>
    <row r="85" spans="1:15" ht="12.75">
      <c r="A85" s="6" t="str">
        <f ca="1">IFERROR(__xludf.DUMMYFUNCTION("""COMPUTED_VALUE"""),"Vahur Asi")</f>
        <v>Vahur Asi</v>
      </c>
      <c r="B85" s="6" t="str">
        <f ca="1">IFERROR(__xludf.DUMMYFUNCTION("""COMPUTED_VALUE"""),"Tartu")</f>
        <v>Tartu</v>
      </c>
      <c r="C85" s="6" t="str">
        <f ca="1">IFERROR(__xludf.DUMMYFUNCTION("""COMPUTED_VALUE"""),"MJ")</f>
        <v>MJ</v>
      </c>
      <c r="D85" s="6" t="str">
        <f ca="1">IFERROR(__xludf.DUMMYFUNCTION("""COMPUTED_VALUE"""),"50m lamades H7")</f>
        <v>50m lamades H7</v>
      </c>
      <c r="E85" s="6" t="str">
        <f ca="1">IFERROR(__xludf.DUMMYFUNCTION("""COMPUTED_VALUE"""),"Võistkond")</f>
        <v>Võistkond</v>
      </c>
      <c r="F85" s="6" t="str">
        <f ca="1">IFERROR(__xludf.DUMMYFUNCTION("""COMPUTED_VALUE"""),"10.09.23")</f>
        <v>10.09.23</v>
      </c>
      <c r="G85" s="6">
        <f ca="1">IFERROR(__xludf.DUMMYFUNCTION("""COMPUTED_VALUE"""),75.8)</f>
        <v>75.8</v>
      </c>
      <c r="H85" s="6">
        <f ca="1">IFERROR(__xludf.DUMMYFUNCTION("""COMPUTED_VALUE"""),83.7)</f>
        <v>83.7</v>
      </c>
      <c r="I85" s="6">
        <f ca="1">IFERROR(__xludf.DUMMYFUNCTION("""COMPUTED_VALUE"""),74.1)</f>
        <v>74.099999999999994</v>
      </c>
      <c r="J85" s="6"/>
      <c r="K85" s="6"/>
      <c r="L85" s="6"/>
      <c r="M85" s="6">
        <f ca="1">IFERROR(__xludf.DUMMYFUNCTION("""COMPUTED_VALUE"""),233.6)</f>
        <v>233.6</v>
      </c>
      <c r="N85" s="6">
        <f ca="1">IFERROR(__xludf.DUMMYFUNCTION("""COMPUTED_VALUE"""),233.6)</f>
        <v>233.6</v>
      </c>
    </row>
    <row r="86" spans="1:15" ht="12.75">
      <c r="A86" s="6" t="str">
        <f ca="1">IFERROR(__xludf.DUMMYFUNCTION("""COMPUTED_VALUE"""),"Aili Vakker")</f>
        <v>Aili Vakker</v>
      </c>
      <c r="B86" s="6" t="str">
        <f ca="1">IFERROR(__xludf.DUMMYFUNCTION("""COMPUTED_VALUE"""),"Viru")</f>
        <v>Viru</v>
      </c>
      <c r="C86" s="6" t="str">
        <f ca="1">IFERROR(__xludf.DUMMYFUNCTION("""COMPUTED_VALUE"""),"N")</f>
        <v>N</v>
      </c>
      <c r="D86" s="6" t="str">
        <f ca="1">IFERROR(__xludf.DUMMYFUNCTION("""COMPUTED_VALUE"""),"50m lamades H7")</f>
        <v>50m lamades H7</v>
      </c>
      <c r="E86" s="6" t="str">
        <f ca="1">IFERROR(__xludf.DUMMYFUNCTION("""COMPUTED_VALUE"""),"Võistkond")</f>
        <v>Võistkond</v>
      </c>
      <c r="F86" s="6" t="str">
        <f ca="1">IFERROR(__xludf.DUMMYFUNCTION("""COMPUTED_VALUE"""),"10.09.23")</f>
        <v>10.09.23</v>
      </c>
      <c r="G86" s="6">
        <f ca="1">IFERROR(__xludf.DUMMYFUNCTION("""COMPUTED_VALUE"""),79.8)</f>
        <v>79.8</v>
      </c>
      <c r="H86" s="6">
        <f ca="1">IFERROR(__xludf.DUMMYFUNCTION("""COMPUTED_VALUE"""),76.1)</f>
        <v>76.099999999999994</v>
      </c>
      <c r="I86" s="6">
        <f ca="1">IFERROR(__xludf.DUMMYFUNCTION("""COMPUTED_VALUE"""),77.1)</f>
        <v>77.099999999999994</v>
      </c>
      <c r="J86" s="6"/>
      <c r="K86" s="6"/>
      <c r="L86" s="6"/>
      <c r="M86" s="6">
        <f ca="1">IFERROR(__xludf.DUMMYFUNCTION("""COMPUTED_VALUE"""),232.999999999999)</f>
        <v>232.99999999999901</v>
      </c>
      <c r="N86" s="6">
        <f ca="1">IFERROR(__xludf.DUMMYFUNCTION("""COMPUTED_VALUE"""),232.999999999999)</f>
        <v>232.99999999999901</v>
      </c>
    </row>
    <row r="87" spans="1:15" ht="12.75">
      <c r="A87" s="6" t="str">
        <f ca="1">IFERROR(__xludf.DUMMYFUNCTION("""COMPUTED_VALUE"""),"Marion Meister")</f>
        <v>Marion Meister</v>
      </c>
      <c r="B87" s="6" t="str">
        <f ca="1">IFERROR(__xludf.DUMMYFUNCTION("""COMPUTED_VALUE"""),"Lääne")</f>
        <v>Lääne</v>
      </c>
      <c r="C87" s="6" t="str">
        <f ca="1">IFERROR(__xludf.DUMMYFUNCTION("""COMPUTED_VALUE"""),"NJ")</f>
        <v>NJ</v>
      </c>
      <c r="D87" s="6" t="str">
        <f ca="1">IFERROR(__xludf.DUMMYFUNCTION("""COMPUTED_VALUE"""),"50m lamades H7")</f>
        <v>50m lamades H7</v>
      </c>
      <c r="E87" s="6" t="str">
        <f ca="1">IFERROR(__xludf.DUMMYFUNCTION("""COMPUTED_VALUE"""),"Võistkond")</f>
        <v>Võistkond</v>
      </c>
      <c r="F87" s="6" t="str">
        <f ca="1">IFERROR(__xludf.DUMMYFUNCTION("""COMPUTED_VALUE"""),"10.09.23")</f>
        <v>10.09.23</v>
      </c>
      <c r="G87" s="6">
        <f ca="1">IFERROR(__xludf.DUMMYFUNCTION("""COMPUTED_VALUE"""),83.7)</f>
        <v>83.7</v>
      </c>
      <c r="H87" s="6">
        <f ca="1">IFERROR(__xludf.DUMMYFUNCTION("""COMPUTED_VALUE"""),73.9)</f>
        <v>73.900000000000006</v>
      </c>
      <c r="I87" s="6">
        <f ca="1">IFERROR(__xludf.DUMMYFUNCTION("""COMPUTED_VALUE"""),69.5)</f>
        <v>69.5</v>
      </c>
      <c r="J87" s="6"/>
      <c r="K87" s="6"/>
      <c r="L87" s="6"/>
      <c r="M87" s="6">
        <f ca="1">IFERROR(__xludf.DUMMYFUNCTION("""COMPUTED_VALUE"""),227.1)</f>
        <v>227.1</v>
      </c>
      <c r="N87" s="6">
        <f ca="1">IFERROR(__xludf.DUMMYFUNCTION("""COMPUTED_VALUE"""),227.1)</f>
        <v>227.1</v>
      </c>
    </row>
    <row r="88" spans="1:15" ht="12.75">
      <c r="A88" s="6" t="str">
        <f ca="1">IFERROR(__xludf.DUMMYFUNCTION("""COMPUTED_VALUE"""),"Anete Mozgovoi")</f>
        <v>Anete Mozgovoi</v>
      </c>
      <c r="B88" s="6" t="str">
        <f ca="1">IFERROR(__xludf.DUMMYFUNCTION("""COMPUTED_VALUE"""),"Sakala")</f>
        <v>Sakala</v>
      </c>
      <c r="C88" s="6" t="str">
        <f ca="1">IFERROR(__xludf.DUMMYFUNCTION("""COMPUTED_VALUE"""),"NJ")</f>
        <v>NJ</v>
      </c>
      <c r="D88" s="6" t="str">
        <f ca="1">IFERROR(__xludf.DUMMYFUNCTION("""COMPUTED_VALUE"""),"50m lamades H7")</f>
        <v>50m lamades H7</v>
      </c>
      <c r="E88" s="6" t="str">
        <f ca="1">IFERROR(__xludf.DUMMYFUNCTION("""COMPUTED_VALUE"""),"Võistkond")</f>
        <v>Võistkond</v>
      </c>
      <c r="F88" s="6" t="str">
        <f ca="1">IFERROR(__xludf.DUMMYFUNCTION("""COMPUTED_VALUE"""),"10.09.23")</f>
        <v>10.09.23</v>
      </c>
      <c r="G88" s="6">
        <f ca="1">IFERROR(__xludf.DUMMYFUNCTION("""COMPUTED_VALUE"""),70.1)</f>
        <v>70.099999999999994</v>
      </c>
      <c r="H88" s="6">
        <f ca="1">IFERROR(__xludf.DUMMYFUNCTION("""COMPUTED_VALUE"""),40.6)</f>
        <v>40.6</v>
      </c>
      <c r="I88" s="6">
        <f ca="1">IFERROR(__xludf.DUMMYFUNCTION("""COMPUTED_VALUE"""),42.3)</f>
        <v>42.3</v>
      </c>
      <c r="J88" s="6"/>
      <c r="K88" s="6"/>
      <c r="L88" s="6"/>
      <c r="M88" s="6">
        <f ca="1">IFERROR(__xludf.DUMMYFUNCTION("""COMPUTED_VALUE"""),153)</f>
        <v>153</v>
      </c>
      <c r="N88" s="6">
        <f ca="1">IFERROR(__xludf.DUMMYFUNCTION("""COMPUTED_VALUE"""),153)</f>
        <v>153</v>
      </c>
    </row>
    <row r="94" spans="1:15" ht="12.75">
      <c r="O94" s="10"/>
    </row>
    <row r="95" spans="1:15" ht="12.75">
      <c r="O95" s="10"/>
    </row>
    <row r="96" spans="1:15" ht="12.75">
      <c r="O96" s="10"/>
    </row>
    <row r="97" spans="15:15" ht="12.75">
      <c r="O97" s="10"/>
    </row>
    <row r="98" spans="15:15" ht="12.75">
      <c r="O98" s="10"/>
    </row>
    <row r="99" spans="15:15" ht="12.75">
      <c r="O99" s="10"/>
    </row>
    <row r="100" spans="15:15" ht="12.75">
      <c r="O100" s="10"/>
    </row>
    <row r="101" spans="15:15" ht="12.75">
      <c r="O101" s="10"/>
    </row>
  </sheetData>
  <customSheetViews>
    <customSheetView guid="{B04617FD-E50F-4841-931A-69574658CB0A}" filter="1" showAutoFilter="1">
      <pageMargins left="0.7" right="0.7" top="0.75" bottom="0.75" header="0.3" footer="0.3"/>
      <autoFilter ref="A2:N1000" xr:uid="{BA67AECD-2889-434A-BADE-DB18A7871310}">
        <filterColumn colId="2">
          <filters blank="1">
            <filter val="MJ"/>
          </filters>
        </filterColumn>
        <filterColumn colId="3">
          <filters>
            <filter val="50m lamades H7"/>
          </filters>
        </filterColumn>
      </autoFilter>
    </customSheetView>
    <customSheetView guid="{3D4A75E4-3A33-4619-B3A3-473B7FDA3612}" filter="1" showAutoFilter="1">
      <pageMargins left="0.7" right="0.7" top="0.75" bottom="0.75" header="0.3" footer="0.3"/>
      <autoFilter ref="A2:N1000" xr:uid="{05C1DE11-D39D-4C56-86A4-93497C63B987}">
        <filterColumn colId="2">
          <filters blank="1">
            <filter val="NJ"/>
          </filters>
        </filterColumn>
        <filterColumn colId="3">
          <filters>
            <filter val="50m lamades H7"/>
          </filters>
        </filterColumn>
      </autoFilter>
    </customSheetView>
    <customSheetView guid="{C3F4648C-55E7-4AF0-A34B-E622A9015443}" filter="1" showAutoFilter="1">
      <pageMargins left="0.7" right="0.7" top="0.75" bottom="0.75" header="0.3" footer="0.3"/>
      <autoFilter ref="A2:N1000" xr:uid="{1921C5B5-B10E-4687-B5C6-FE23A7E14732}">
        <filterColumn colId="2">
          <filters blank="1">
            <filter val="T"/>
          </filters>
        </filterColumn>
        <filterColumn colId="3">
          <filters>
            <filter val="50m lamades H7"/>
          </filters>
        </filterColumn>
      </autoFilter>
    </customSheetView>
    <customSheetView guid="{845FBECC-592C-4475-9184-0C9DD86A8A6D}" filter="1" showAutoFilter="1">
      <pageMargins left="0.7" right="0.7" top="0.75" bottom="0.75" header="0.3" footer="0.3"/>
      <autoFilter ref="A2:N1000" xr:uid="{01F6B838-A26E-479F-877D-7414B3D95BE3}">
        <filterColumn colId="2">
          <filters blank="1">
            <filter val="N"/>
          </filters>
        </filterColumn>
        <filterColumn colId="3">
          <filters>
            <filter val="50m lamades H7"/>
          </filters>
        </filterColumn>
      </autoFilter>
    </customSheetView>
    <customSheetView guid="{52165058-C673-4B84-B912-E0D8A2D0AE20}" filter="1" showAutoFilter="1">
      <pageMargins left="0.7" right="0.7" top="0.75" bottom="0.75" header="0.3" footer="0.3"/>
      <autoFilter ref="A2:N1000" xr:uid="{AD0DE17D-F84F-423C-9EB0-D8A3DBA7611F}">
        <filterColumn colId="2">
          <filters blank="1">
            <filter val="P"/>
          </filters>
        </filterColumn>
        <filterColumn colId="3">
          <filters>
            <filter val="50m lamades H7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9209232F-0EB7-4F08-BBB6-3327888C2E9E}">
        <filterColumn colId="2">
          <filters blank="1">
            <filter val="M"/>
          </filters>
        </filterColumn>
        <filterColumn colId="3">
          <filters>
            <filter val="50m lamades H7"/>
          </filters>
        </filterColumn>
      </autoFilter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X1005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8.28515625" customWidth="1"/>
    <col min="3" max="3" width="7.42578125" customWidth="1"/>
    <col min="4" max="4" width="9.5703125" customWidth="1"/>
    <col min="6" max="6" width="10.5703125" customWidth="1"/>
    <col min="7" max="12" width="8.140625" customWidth="1"/>
    <col min="13" max="13" width="9.42578125" customWidth="1"/>
    <col min="14" max="14" width="10.42578125" customWidth="1"/>
  </cols>
  <sheetData>
    <row r="1" spans="1:24" ht="27" customHeight="1">
      <c r="A1" s="8" t="s">
        <v>7</v>
      </c>
      <c r="B1" s="8"/>
      <c r="C1" s="8" t="s">
        <v>41</v>
      </c>
      <c r="D1" s="8"/>
      <c r="E1" s="8"/>
      <c r="F1" s="8"/>
      <c r="G1" s="8"/>
      <c r="H1" s="8"/>
      <c r="I1" s="8"/>
      <c r="J1" s="8" t="s">
        <v>42</v>
      </c>
      <c r="L1" s="8"/>
      <c r="M1" s="8"/>
      <c r="N1" s="8"/>
      <c r="O1" s="11"/>
      <c r="P1" s="8"/>
      <c r="Q1" s="8"/>
      <c r="R1" s="8"/>
      <c r="S1" s="8"/>
      <c r="T1" s="8"/>
      <c r="U1" s="8"/>
      <c r="V1" s="8"/>
      <c r="W1" s="8"/>
      <c r="X1" s="8"/>
    </row>
    <row r="2" spans="1:24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2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6" t="str">
        <f ca="1">IFERROR(__xludf.DUMMYFUNCTION("SORT(FILTER(Nimekiri,ALA=A1),13,FALSE,12,FALSE)"),"Kristina Kiisk")</f>
        <v>Kristina Kiisk</v>
      </c>
      <c r="B3" s="6" t="str">
        <f ca="1">IFERROR(__xludf.DUMMYFUNCTION("""COMPUTED_VALUE"""),"Järva")</f>
        <v>Järva</v>
      </c>
      <c r="C3" s="6" t="str">
        <f ca="1">IFERROR(__xludf.DUMMYFUNCTION("""COMPUTED_VALUE"""),"N")</f>
        <v>N</v>
      </c>
      <c r="D3" s="6" t="str">
        <f ca="1">IFERROR(__xludf.DUMMYFUNCTION("""COMPUTED_VALUE"""),"25m 9,0mm H5")</f>
        <v>25m 9,0mm H5</v>
      </c>
      <c r="E3" s="6" t="str">
        <f ca="1">IFERROR(__xludf.DUMMYFUNCTION("""COMPUTED_VALUE"""),"Individuaalne")</f>
        <v>Individuaalne</v>
      </c>
      <c r="F3" s="6" t="str">
        <f ca="1">IFERROR(__xludf.DUMMYFUNCTION("""COMPUTED_VALUE"""),"09.09.23")</f>
        <v>09.09.23</v>
      </c>
      <c r="G3" s="6">
        <f ca="1">IFERROR(__xludf.DUMMYFUNCTION("""COMPUTED_VALUE"""),95)</f>
        <v>95</v>
      </c>
      <c r="H3" s="6">
        <f ca="1">IFERROR(__xludf.DUMMYFUNCTION("""COMPUTED_VALUE"""),95)</f>
        <v>95</v>
      </c>
      <c r="I3" s="6">
        <f ca="1">IFERROR(__xludf.DUMMYFUNCTION("""COMPUTED_VALUE"""),95)</f>
        <v>95</v>
      </c>
      <c r="J3" s="6"/>
      <c r="K3" s="6"/>
      <c r="L3" s="6"/>
      <c r="M3" s="6">
        <f ca="1">IFERROR(__xludf.DUMMYFUNCTION("""COMPUTED_VALUE"""),285)</f>
        <v>285</v>
      </c>
      <c r="N3" s="6"/>
      <c r="O3" s="2"/>
    </row>
    <row r="4" spans="1:24" ht="12.75">
      <c r="A4" s="6" t="str">
        <f ca="1">IFERROR(__xludf.DUMMYFUNCTION("""COMPUTED_VALUE"""),"Toomas Luman")</f>
        <v>Toomas Luman</v>
      </c>
      <c r="B4" s="6" t="str">
        <f ca="1">IFERROR(__xludf.DUMMYFUNCTION("""COMPUTED_VALUE"""),"Tallinn")</f>
        <v>Tallinn</v>
      </c>
      <c r="C4" s="6" t="str">
        <f ca="1">IFERROR(__xludf.DUMMYFUNCTION("""COMPUTED_VALUE"""),"M")</f>
        <v>M</v>
      </c>
      <c r="D4" s="6" t="str">
        <f ca="1">IFERROR(__xludf.DUMMYFUNCTION("""COMPUTED_VALUE"""),"25m 9,0mm H5")</f>
        <v>25m 9,0mm H5</v>
      </c>
      <c r="E4" s="6" t="str">
        <f ca="1">IFERROR(__xludf.DUMMYFUNCTION("""COMPUTED_VALUE"""),"Individuaalne")</f>
        <v>Individuaalne</v>
      </c>
      <c r="F4" s="6" t="str">
        <f ca="1">IFERROR(__xludf.DUMMYFUNCTION("""COMPUTED_VALUE"""),"09.09.23")</f>
        <v>09.09.23</v>
      </c>
      <c r="G4" s="6">
        <f ca="1">IFERROR(__xludf.DUMMYFUNCTION("""COMPUTED_VALUE"""),91)</f>
        <v>91</v>
      </c>
      <c r="H4" s="6">
        <f ca="1">IFERROR(__xludf.DUMMYFUNCTION("""COMPUTED_VALUE"""),93)</f>
        <v>93</v>
      </c>
      <c r="I4" s="6">
        <f ca="1">IFERROR(__xludf.DUMMYFUNCTION("""COMPUTED_VALUE"""),90)</f>
        <v>90</v>
      </c>
      <c r="J4" s="6"/>
      <c r="K4" s="6"/>
      <c r="L4" s="6"/>
      <c r="M4" s="6">
        <f ca="1">IFERROR(__xludf.DUMMYFUNCTION("""COMPUTED_VALUE"""),274)</f>
        <v>274</v>
      </c>
      <c r="N4" s="6"/>
      <c r="O4" s="2"/>
    </row>
    <row r="5" spans="1:24" ht="12.75">
      <c r="A5" s="6" t="str">
        <f ca="1">IFERROR(__xludf.DUMMYFUNCTION("""COMPUTED_VALUE"""),"Veera Rumjantseva")</f>
        <v>Veera Rumjantseva</v>
      </c>
      <c r="B5" s="6" t="str">
        <f ca="1">IFERROR(__xludf.DUMMYFUNCTION("""COMPUTED_VALUE"""),"Alutaguse")</f>
        <v>Alutaguse</v>
      </c>
      <c r="C5" s="6" t="str">
        <f ca="1">IFERROR(__xludf.DUMMYFUNCTION("""COMPUTED_VALUE"""),"N")</f>
        <v>N</v>
      </c>
      <c r="D5" s="6" t="str">
        <f ca="1">IFERROR(__xludf.DUMMYFUNCTION("""COMPUTED_VALUE"""),"25m 9,0mm H5")</f>
        <v>25m 9,0mm H5</v>
      </c>
      <c r="E5" s="6" t="str">
        <f ca="1">IFERROR(__xludf.DUMMYFUNCTION("""COMPUTED_VALUE"""),"Võistkond")</f>
        <v>Võistkond</v>
      </c>
      <c r="F5" s="6" t="str">
        <f ca="1">IFERROR(__xludf.DUMMYFUNCTION("""COMPUTED_VALUE"""),"09.09.23")</f>
        <v>09.09.23</v>
      </c>
      <c r="G5" s="6">
        <f ca="1">IFERROR(__xludf.DUMMYFUNCTION("""COMPUTED_VALUE"""),87)</f>
        <v>87</v>
      </c>
      <c r="H5" s="6">
        <f ca="1">IFERROR(__xludf.DUMMYFUNCTION("""COMPUTED_VALUE"""),92)</f>
        <v>92</v>
      </c>
      <c r="I5" s="6">
        <f ca="1">IFERROR(__xludf.DUMMYFUNCTION("""COMPUTED_VALUE"""),93)</f>
        <v>93</v>
      </c>
      <c r="J5" s="6"/>
      <c r="K5" s="6"/>
      <c r="L5" s="6"/>
      <c r="M5" s="6">
        <f ca="1">IFERROR(__xludf.DUMMYFUNCTION("""COMPUTED_VALUE"""),272)</f>
        <v>272</v>
      </c>
      <c r="N5" s="6">
        <f ca="1">IFERROR(__xludf.DUMMYFUNCTION("""COMPUTED_VALUE"""),272)</f>
        <v>272</v>
      </c>
      <c r="O5" s="2"/>
    </row>
    <row r="6" spans="1:24" ht="12.75">
      <c r="A6" s="6" t="str">
        <f ca="1">IFERROR(__xludf.DUMMYFUNCTION("""COMPUTED_VALUE"""),"Peeter Olesk")</f>
        <v>Peeter Olesk</v>
      </c>
      <c r="B6" s="6" t="str">
        <f ca="1">IFERROR(__xludf.DUMMYFUNCTION("""COMPUTED_VALUE"""),"Tallinn")</f>
        <v>Tallinn</v>
      </c>
      <c r="C6" s="6" t="str">
        <f ca="1">IFERROR(__xludf.DUMMYFUNCTION("""COMPUTED_VALUE"""),"M")</f>
        <v>M</v>
      </c>
      <c r="D6" s="6" t="str">
        <f ca="1">IFERROR(__xludf.DUMMYFUNCTION("""COMPUTED_VALUE"""),"25m 9,0mm H5")</f>
        <v>25m 9,0mm H5</v>
      </c>
      <c r="E6" s="6" t="str">
        <f ca="1">IFERROR(__xludf.DUMMYFUNCTION("""COMPUTED_VALUE"""),"Võistkond")</f>
        <v>Võistkond</v>
      </c>
      <c r="F6" s="6" t="str">
        <f ca="1">IFERROR(__xludf.DUMMYFUNCTION("""COMPUTED_VALUE"""),"09.09.23")</f>
        <v>09.09.23</v>
      </c>
      <c r="G6" s="6">
        <f ca="1">IFERROR(__xludf.DUMMYFUNCTION("""COMPUTED_VALUE"""),90)</f>
        <v>90</v>
      </c>
      <c r="H6" s="6">
        <f ca="1">IFERROR(__xludf.DUMMYFUNCTION("""COMPUTED_VALUE"""),87)</f>
        <v>87</v>
      </c>
      <c r="I6" s="6">
        <f ca="1">IFERROR(__xludf.DUMMYFUNCTION("""COMPUTED_VALUE"""),93)</f>
        <v>93</v>
      </c>
      <c r="J6" s="6"/>
      <c r="K6" s="6"/>
      <c r="L6" s="6"/>
      <c r="M6" s="6">
        <f ca="1">IFERROR(__xludf.DUMMYFUNCTION("""COMPUTED_VALUE"""),270)</f>
        <v>270</v>
      </c>
      <c r="N6" s="6">
        <f ca="1">IFERROR(__xludf.DUMMYFUNCTION("""COMPUTED_VALUE"""),270)</f>
        <v>270</v>
      </c>
    </row>
    <row r="7" spans="1:24" ht="12.75">
      <c r="A7" s="6" t="str">
        <f ca="1">IFERROR(__xludf.DUMMYFUNCTION("""COMPUTED_VALUE"""),"Aleksei Osokin")</f>
        <v>Aleksei Osokin</v>
      </c>
      <c r="B7" s="6" t="str">
        <f ca="1">IFERROR(__xludf.DUMMYFUNCTION("""COMPUTED_VALUE"""),"Viru")</f>
        <v>Viru</v>
      </c>
      <c r="C7" s="6" t="str">
        <f ca="1">IFERROR(__xludf.DUMMYFUNCTION("""COMPUTED_VALUE"""),"M")</f>
        <v>M</v>
      </c>
      <c r="D7" s="6" t="str">
        <f ca="1">IFERROR(__xludf.DUMMYFUNCTION("""COMPUTED_VALUE"""),"25m 9,0mm H5")</f>
        <v>25m 9,0mm H5</v>
      </c>
      <c r="E7" s="6" t="str">
        <f ca="1">IFERROR(__xludf.DUMMYFUNCTION("""COMPUTED_VALUE"""),"Individuaalne")</f>
        <v>Individuaalne</v>
      </c>
      <c r="F7" s="6" t="str">
        <f ca="1">IFERROR(__xludf.DUMMYFUNCTION("""COMPUTED_VALUE"""),"10.09.23")</f>
        <v>10.09.23</v>
      </c>
      <c r="G7" s="6">
        <f ca="1">IFERROR(__xludf.DUMMYFUNCTION("""COMPUTED_VALUE"""),90)</f>
        <v>90</v>
      </c>
      <c r="H7" s="6">
        <f ca="1">IFERROR(__xludf.DUMMYFUNCTION("""COMPUTED_VALUE"""),88)</f>
        <v>88</v>
      </c>
      <c r="I7" s="6">
        <f ca="1">IFERROR(__xludf.DUMMYFUNCTION("""COMPUTED_VALUE"""),91)</f>
        <v>91</v>
      </c>
      <c r="J7" s="6"/>
      <c r="K7" s="6"/>
      <c r="L7" s="6"/>
      <c r="M7" s="6">
        <f ca="1">IFERROR(__xludf.DUMMYFUNCTION("""COMPUTED_VALUE"""),269)</f>
        <v>269</v>
      </c>
      <c r="N7" s="6"/>
      <c r="O7" s="2"/>
    </row>
    <row r="8" spans="1:24" ht="12.75">
      <c r="A8" s="6" t="str">
        <f ca="1">IFERROR(__xludf.DUMMYFUNCTION("""COMPUTED_VALUE"""),"Reijo Virolainen")</f>
        <v>Reijo Virolainen</v>
      </c>
      <c r="B8" s="6" t="str">
        <f ca="1">IFERROR(__xludf.DUMMYFUNCTION("""COMPUTED_VALUE"""),"Tartu")</f>
        <v>Tartu</v>
      </c>
      <c r="C8" s="6" t="str">
        <f ca="1">IFERROR(__xludf.DUMMYFUNCTION("""COMPUTED_VALUE"""),"M")</f>
        <v>M</v>
      </c>
      <c r="D8" s="6" t="str">
        <f ca="1">IFERROR(__xludf.DUMMYFUNCTION("""COMPUTED_VALUE"""),"25m 9,0mm H5")</f>
        <v>25m 9,0mm H5</v>
      </c>
      <c r="E8" s="6" t="str">
        <f ca="1">IFERROR(__xludf.DUMMYFUNCTION("""COMPUTED_VALUE"""),"Võistkond")</f>
        <v>Võistkond</v>
      </c>
      <c r="F8" s="6" t="str">
        <f ca="1">IFERROR(__xludf.DUMMYFUNCTION("""COMPUTED_VALUE"""),"10.09.23")</f>
        <v>10.09.23</v>
      </c>
      <c r="G8" s="6">
        <f ca="1">IFERROR(__xludf.DUMMYFUNCTION("""COMPUTED_VALUE"""),89)</f>
        <v>89</v>
      </c>
      <c r="H8" s="6">
        <f ca="1">IFERROR(__xludf.DUMMYFUNCTION("""COMPUTED_VALUE"""),91)</f>
        <v>91</v>
      </c>
      <c r="I8" s="6">
        <f ca="1">IFERROR(__xludf.DUMMYFUNCTION("""COMPUTED_VALUE"""),88)</f>
        <v>88</v>
      </c>
      <c r="J8" s="6"/>
      <c r="K8" s="6"/>
      <c r="L8" s="6"/>
      <c r="M8" s="6">
        <f ca="1">IFERROR(__xludf.DUMMYFUNCTION("""COMPUTED_VALUE"""),268)</f>
        <v>268</v>
      </c>
      <c r="N8" s="6">
        <f ca="1">IFERROR(__xludf.DUMMYFUNCTION("""COMPUTED_VALUE"""),268)</f>
        <v>268</v>
      </c>
      <c r="O8" s="2"/>
    </row>
    <row r="9" spans="1:24" ht="12.75">
      <c r="A9" s="6" t="str">
        <f ca="1">IFERROR(__xludf.DUMMYFUNCTION("""COMPUTED_VALUE"""),"Tanel Oja")</f>
        <v>Tanel Oja</v>
      </c>
      <c r="B9" s="6" t="str">
        <f ca="1">IFERROR(__xludf.DUMMYFUNCTION("""COMPUTED_VALUE"""),"Alutaguse")</f>
        <v>Alutaguse</v>
      </c>
      <c r="C9" s="6" t="str">
        <f ca="1">IFERROR(__xludf.DUMMYFUNCTION("""COMPUTED_VALUE"""),"M")</f>
        <v>M</v>
      </c>
      <c r="D9" s="6" t="str">
        <f ca="1">IFERROR(__xludf.DUMMYFUNCTION("""COMPUTED_VALUE"""),"25m 9,0mm H5")</f>
        <v>25m 9,0mm H5</v>
      </c>
      <c r="E9" s="6" t="str">
        <f ca="1">IFERROR(__xludf.DUMMYFUNCTION("""COMPUTED_VALUE"""),"Individuaalne")</f>
        <v>Individuaalne</v>
      </c>
      <c r="F9" s="6" t="str">
        <f ca="1">IFERROR(__xludf.DUMMYFUNCTION("""COMPUTED_VALUE"""),"09.09.23")</f>
        <v>09.09.23</v>
      </c>
      <c r="G9" s="6">
        <f ca="1">IFERROR(__xludf.DUMMYFUNCTION("""COMPUTED_VALUE"""),91)</f>
        <v>91</v>
      </c>
      <c r="H9" s="6">
        <f ca="1">IFERROR(__xludf.DUMMYFUNCTION("""COMPUTED_VALUE"""),86)</f>
        <v>86</v>
      </c>
      <c r="I9" s="6">
        <f ca="1">IFERROR(__xludf.DUMMYFUNCTION("""COMPUTED_VALUE"""),89)</f>
        <v>89</v>
      </c>
      <c r="J9" s="6"/>
      <c r="K9" s="6"/>
      <c r="L9" s="6"/>
      <c r="M9" s="6">
        <f ca="1">IFERROR(__xludf.DUMMYFUNCTION("""COMPUTED_VALUE"""),266)</f>
        <v>266</v>
      </c>
      <c r="N9" s="6"/>
      <c r="O9" s="2"/>
    </row>
    <row r="10" spans="1:24" ht="12.75">
      <c r="A10" s="6" t="str">
        <f ca="1">IFERROR(__xludf.DUMMYFUNCTION("""COMPUTED_VALUE"""),"Anu Asu")</f>
        <v>Anu Asu</v>
      </c>
      <c r="B10" s="6" t="str">
        <f ca="1">IFERROR(__xludf.DUMMYFUNCTION("""COMPUTED_VALUE"""),"Tallinn")</f>
        <v>Tallinn</v>
      </c>
      <c r="C10" s="6" t="str">
        <f ca="1">IFERROR(__xludf.DUMMYFUNCTION("""COMPUTED_VALUE"""),"N")</f>
        <v>N</v>
      </c>
      <c r="D10" s="6" t="str">
        <f ca="1">IFERROR(__xludf.DUMMYFUNCTION("""COMPUTED_VALUE"""),"25m 9,0mm H5")</f>
        <v>25m 9,0mm H5</v>
      </c>
      <c r="E10" s="6" t="str">
        <f ca="1">IFERROR(__xludf.DUMMYFUNCTION("""COMPUTED_VALUE"""),"Võistkond")</f>
        <v>Võistkond</v>
      </c>
      <c r="F10" s="6" t="str">
        <f ca="1">IFERROR(__xludf.DUMMYFUNCTION("""COMPUTED_VALUE"""),"09.09.23")</f>
        <v>09.09.23</v>
      </c>
      <c r="G10" s="6">
        <f ca="1">IFERROR(__xludf.DUMMYFUNCTION("""COMPUTED_VALUE"""),93)</f>
        <v>93</v>
      </c>
      <c r="H10" s="6">
        <f ca="1">IFERROR(__xludf.DUMMYFUNCTION("""COMPUTED_VALUE"""),84)</f>
        <v>84</v>
      </c>
      <c r="I10" s="6">
        <f ca="1">IFERROR(__xludf.DUMMYFUNCTION("""COMPUTED_VALUE"""),89)</f>
        <v>89</v>
      </c>
      <c r="J10" s="6"/>
      <c r="K10" s="6"/>
      <c r="L10" s="6"/>
      <c r="M10" s="6">
        <f ca="1">IFERROR(__xludf.DUMMYFUNCTION("""COMPUTED_VALUE"""),266)</f>
        <v>266</v>
      </c>
      <c r="N10" s="6">
        <f ca="1">IFERROR(__xludf.DUMMYFUNCTION("""COMPUTED_VALUE"""),266)</f>
        <v>266</v>
      </c>
      <c r="O10" s="2"/>
    </row>
    <row r="11" spans="1:24" ht="12.75">
      <c r="A11" s="6" t="str">
        <f ca="1">IFERROR(__xludf.DUMMYFUNCTION("""COMPUTED_VALUE"""),"Henry Tammann")</f>
        <v>Henry Tammann</v>
      </c>
      <c r="B11" s="6" t="str">
        <f ca="1">IFERROR(__xludf.DUMMYFUNCTION("""COMPUTED_VALUE"""),"Alutaguse")</f>
        <v>Alutaguse</v>
      </c>
      <c r="C11" s="6" t="str">
        <f ca="1">IFERROR(__xludf.DUMMYFUNCTION("""COMPUTED_VALUE"""),"M")</f>
        <v>M</v>
      </c>
      <c r="D11" s="6" t="str">
        <f ca="1">IFERROR(__xludf.DUMMYFUNCTION("""COMPUTED_VALUE"""),"25m 9,0mm H5")</f>
        <v>25m 9,0mm H5</v>
      </c>
      <c r="E11" s="6" t="str">
        <f ca="1">IFERROR(__xludf.DUMMYFUNCTION("""COMPUTED_VALUE"""),"Individuaalne")</f>
        <v>Individuaalne</v>
      </c>
      <c r="F11" s="6" t="str">
        <f ca="1">IFERROR(__xludf.DUMMYFUNCTION("""COMPUTED_VALUE"""),"09.09.23")</f>
        <v>09.09.23</v>
      </c>
      <c r="G11" s="6">
        <f ca="1">IFERROR(__xludf.DUMMYFUNCTION("""COMPUTED_VALUE"""),90)</f>
        <v>90</v>
      </c>
      <c r="H11" s="6">
        <f ca="1">IFERROR(__xludf.DUMMYFUNCTION("""COMPUTED_VALUE"""),89)</f>
        <v>89</v>
      </c>
      <c r="I11" s="6">
        <f ca="1">IFERROR(__xludf.DUMMYFUNCTION("""COMPUTED_VALUE"""),86)</f>
        <v>86</v>
      </c>
      <c r="J11" s="6"/>
      <c r="K11" s="6"/>
      <c r="L11" s="6"/>
      <c r="M11" s="6">
        <f ca="1">IFERROR(__xludf.DUMMYFUNCTION("""COMPUTED_VALUE"""),265)</f>
        <v>265</v>
      </c>
      <c r="N11" s="6"/>
    </row>
    <row r="12" spans="1:24" ht="12.75">
      <c r="A12" s="6" t="str">
        <f ca="1">IFERROR(__xludf.DUMMYFUNCTION("""COMPUTED_VALUE"""),"Tõnis Orumaa")</f>
        <v>Tõnis Orumaa</v>
      </c>
      <c r="B12" s="6" t="str">
        <f ca="1">IFERROR(__xludf.DUMMYFUNCTION("""COMPUTED_VALUE"""),"Järva")</f>
        <v>Järva</v>
      </c>
      <c r="C12" s="6" t="str">
        <f ca="1">IFERROR(__xludf.DUMMYFUNCTION("""COMPUTED_VALUE"""),"M")</f>
        <v>M</v>
      </c>
      <c r="D12" s="6" t="str">
        <f ca="1">IFERROR(__xludf.DUMMYFUNCTION("""COMPUTED_VALUE"""),"25m 9,0mm H5")</f>
        <v>25m 9,0mm H5</v>
      </c>
      <c r="E12" s="6" t="str">
        <f ca="1">IFERROR(__xludf.DUMMYFUNCTION("""COMPUTED_VALUE"""),"Võistkond")</f>
        <v>Võistkond</v>
      </c>
      <c r="F12" s="6" t="str">
        <f ca="1">IFERROR(__xludf.DUMMYFUNCTION("""COMPUTED_VALUE"""),"09.09.23")</f>
        <v>09.09.23</v>
      </c>
      <c r="G12" s="6">
        <f ca="1">IFERROR(__xludf.DUMMYFUNCTION("""COMPUTED_VALUE"""),89)</f>
        <v>89</v>
      </c>
      <c r="H12" s="6">
        <f ca="1">IFERROR(__xludf.DUMMYFUNCTION("""COMPUTED_VALUE"""),91)</f>
        <v>91</v>
      </c>
      <c r="I12" s="6">
        <f ca="1">IFERROR(__xludf.DUMMYFUNCTION("""COMPUTED_VALUE"""),85)</f>
        <v>85</v>
      </c>
      <c r="J12" s="6"/>
      <c r="K12" s="6"/>
      <c r="L12" s="6"/>
      <c r="M12" s="6">
        <f ca="1">IFERROR(__xludf.DUMMYFUNCTION("""COMPUTED_VALUE"""),265)</f>
        <v>265</v>
      </c>
      <c r="N12" s="6">
        <f ca="1">IFERROR(__xludf.DUMMYFUNCTION("""COMPUTED_VALUE"""),265)</f>
        <v>265</v>
      </c>
      <c r="O12" s="2"/>
    </row>
    <row r="13" spans="1:24" ht="12.75">
      <c r="A13" s="6" t="str">
        <f ca="1">IFERROR(__xludf.DUMMYFUNCTION("""COMPUTED_VALUE"""),"Andero Laurits")</f>
        <v>Andero Laurits</v>
      </c>
      <c r="B13" s="6" t="str">
        <f ca="1">IFERROR(__xludf.DUMMYFUNCTION("""COMPUTED_VALUE"""),"Saaremaa")</f>
        <v>Saaremaa</v>
      </c>
      <c r="C13" s="6" t="str">
        <f ca="1">IFERROR(__xludf.DUMMYFUNCTION("""COMPUTED_VALUE"""),"M")</f>
        <v>M</v>
      </c>
      <c r="D13" s="6" t="str">
        <f ca="1">IFERROR(__xludf.DUMMYFUNCTION("""COMPUTED_VALUE"""),"25m 9,0mm H5")</f>
        <v>25m 9,0mm H5</v>
      </c>
      <c r="E13" s="6" t="str">
        <f ca="1">IFERROR(__xludf.DUMMYFUNCTION("""COMPUTED_VALUE"""),"Võistkond")</f>
        <v>Võistkond</v>
      </c>
      <c r="F13" s="6" t="str">
        <f ca="1">IFERROR(__xludf.DUMMYFUNCTION("""COMPUTED_VALUE"""),"09.09.23")</f>
        <v>09.09.23</v>
      </c>
      <c r="G13" s="6">
        <f ca="1">IFERROR(__xludf.DUMMYFUNCTION("""COMPUTED_VALUE"""),91)</f>
        <v>91</v>
      </c>
      <c r="H13" s="6">
        <f ca="1">IFERROR(__xludf.DUMMYFUNCTION("""COMPUTED_VALUE"""),87)</f>
        <v>87</v>
      </c>
      <c r="I13" s="6">
        <f ca="1">IFERROR(__xludf.DUMMYFUNCTION("""COMPUTED_VALUE"""),87)</f>
        <v>87</v>
      </c>
      <c r="J13" s="6"/>
      <c r="K13" s="6"/>
      <c r="L13" s="6"/>
      <c r="M13" s="6">
        <f ca="1">IFERROR(__xludf.DUMMYFUNCTION("""COMPUTED_VALUE"""),265)</f>
        <v>265</v>
      </c>
      <c r="N13" s="6">
        <f ca="1">IFERROR(__xludf.DUMMYFUNCTION("""COMPUTED_VALUE"""),265)</f>
        <v>265</v>
      </c>
      <c r="O13" s="2"/>
    </row>
    <row r="14" spans="1:24" ht="12.75">
      <c r="A14" s="6" t="str">
        <f ca="1">IFERROR(__xludf.DUMMYFUNCTION("""COMPUTED_VALUE"""),"Ivar Tallerman")</f>
        <v>Ivar Tallerman</v>
      </c>
      <c r="B14" s="6" t="str">
        <f ca="1">IFERROR(__xludf.DUMMYFUNCTION("""COMPUTED_VALUE"""),"Alutaguse")</f>
        <v>Alutaguse</v>
      </c>
      <c r="C14" s="6" t="str">
        <f ca="1">IFERROR(__xludf.DUMMYFUNCTION("""COMPUTED_VALUE"""),"M")</f>
        <v>M</v>
      </c>
      <c r="D14" s="6" t="str">
        <f ca="1">IFERROR(__xludf.DUMMYFUNCTION("""COMPUTED_VALUE"""),"25m 9,0mm H5")</f>
        <v>25m 9,0mm H5</v>
      </c>
      <c r="E14" s="6" t="str">
        <f ca="1">IFERROR(__xludf.DUMMYFUNCTION("""COMPUTED_VALUE"""),"Individuaalne")</f>
        <v>Individuaalne</v>
      </c>
      <c r="F14" s="6" t="str">
        <f ca="1">IFERROR(__xludf.DUMMYFUNCTION("""COMPUTED_VALUE"""),"09.09.23")</f>
        <v>09.09.23</v>
      </c>
      <c r="G14" s="6">
        <f ca="1">IFERROR(__xludf.DUMMYFUNCTION("""COMPUTED_VALUE"""),87)</f>
        <v>87</v>
      </c>
      <c r="H14" s="6">
        <f ca="1">IFERROR(__xludf.DUMMYFUNCTION("""COMPUTED_VALUE"""),86)</f>
        <v>86</v>
      </c>
      <c r="I14" s="6">
        <f ca="1">IFERROR(__xludf.DUMMYFUNCTION("""COMPUTED_VALUE"""),91)</f>
        <v>91</v>
      </c>
      <c r="J14" s="6"/>
      <c r="K14" s="6"/>
      <c r="L14" s="6"/>
      <c r="M14" s="6">
        <f ca="1">IFERROR(__xludf.DUMMYFUNCTION("""COMPUTED_VALUE"""),264)</f>
        <v>264</v>
      </c>
      <c r="N14" s="6"/>
      <c r="O14" s="2"/>
    </row>
    <row r="15" spans="1:24" ht="12.75">
      <c r="A15" s="6" t="str">
        <f ca="1">IFERROR(__xludf.DUMMYFUNCTION("""COMPUTED_VALUE"""),"Margus Grauberg")</f>
        <v>Margus Grauberg</v>
      </c>
      <c r="B15" s="6" t="str">
        <f ca="1">IFERROR(__xludf.DUMMYFUNCTION("""COMPUTED_VALUE"""),"Alutaguse")</f>
        <v>Alutaguse</v>
      </c>
      <c r="C15" s="6" t="str">
        <f ca="1">IFERROR(__xludf.DUMMYFUNCTION("""COMPUTED_VALUE"""),"M")</f>
        <v>M</v>
      </c>
      <c r="D15" s="6" t="str">
        <f ca="1">IFERROR(__xludf.DUMMYFUNCTION("""COMPUTED_VALUE"""),"25m 9,0mm H5")</f>
        <v>25m 9,0mm H5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IFERROR(__xludf.DUMMYFUNCTION("""COMPUTED_VALUE"""),90)</f>
        <v>90</v>
      </c>
      <c r="H15" s="6">
        <f ca="1">IFERROR(__xludf.DUMMYFUNCTION("""COMPUTED_VALUE"""),85)</f>
        <v>85</v>
      </c>
      <c r="I15" s="6">
        <f ca="1">IFERROR(__xludf.DUMMYFUNCTION("""COMPUTED_VALUE"""),89)</f>
        <v>89</v>
      </c>
      <c r="J15" s="6"/>
      <c r="K15" s="6"/>
      <c r="L15" s="6"/>
      <c r="M15" s="6">
        <f ca="1">IFERROR(__xludf.DUMMYFUNCTION("""COMPUTED_VALUE"""),264)</f>
        <v>264</v>
      </c>
      <c r="N15" s="6">
        <f ca="1">IFERROR(__xludf.DUMMYFUNCTION("""COMPUTED_VALUE"""),264)</f>
        <v>264</v>
      </c>
      <c r="O15" s="2"/>
    </row>
    <row r="16" spans="1:24" ht="12.75">
      <c r="A16" s="6" t="str">
        <f ca="1">IFERROR(__xludf.DUMMYFUNCTION("""COMPUTED_VALUE"""),"Juss Leinbock")</f>
        <v>Juss Leinbock</v>
      </c>
      <c r="B16" s="6" t="str">
        <f ca="1">IFERROR(__xludf.DUMMYFUNCTION("""COMPUTED_VALUE"""),"Alutaguse")</f>
        <v>Alutaguse</v>
      </c>
      <c r="C16" s="6" t="str">
        <f ca="1">IFERROR(__xludf.DUMMYFUNCTION("""COMPUTED_VALUE"""),"M")</f>
        <v>M</v>
      </c>
      <c r="D16" s="6" t="str">
        <f ca="1">IFERROR(__xludf.DUMMYFUNCTION("""COMPUTED_VALUE"""),"25m 9,0mm H5")</f>
        <v>25m 9,0mm H5</v>
      </c>
      <c r="E16" s="6" t="str">
        <f ca="1">IFERROR(__xludf.DUMMYFUNCTION("""COMPUTED_VALUE"""),"Individuaalne")</f>
        <v>Individuaalne</v>
      </c>
      <c r="F16" s="6" t="str">
        <f ca="1">IFERROR(__xludf.DUMMYFUNCTION("""COMPUTED_VALUE"""),"09.09.23")</f>
        <v>09.09.23</v>
      </c>
      <c r="G16" s="6">
        <f ca="1">IFERROR(__xludf.DUMMYFUNCTION("""COMPUTED_VALUE"""),85)</f>
        <v>85</v>
      </c>
      <c r="H16" s="6">
        <f ca="1">IFERROR(__xludf.DUMMYFUNCTION("""COMPUTED_VALUE"""),85)</f>
        <v>85</v>
      </c>
      <c r="I16" s="6">
        <f ca="1">IFERROR(__xludf.DUMMYFUNCTION("""COMPUTED_VALUE"""),92)</f>
        <v>92</v>
      </c>
      <c r="J16" s="6"/>
      <c r="K16" s="6"/>
      <c r="L16" s="6"/>
      <c r="M16" s="6">
        <f ca="1">IFERROR(__xludf.DUMMYFUNCTION("""COMPUTED_VALUE"""),262)</f>
        <v>262</v>
      </c>
      <c r="N16" s="6"/>
      <c r="O16" s="2"/>
    </row>
    <row r="17" spans="1:15" ht="12.75">
      <c r="A17" s="6" t="str">
        <f ca="1">IFERROR(__xludf.DUMMYFUNCTION("""COMPUTED_VALUE"""),"Erik Amann")</f>
        <v>Erik Amann</v>
      </c>
      <c r="B17" s="6" t="str">
        <f ca="1">IFERROR(__xludf.DUMMYFUNCTION("""COMPUTED_VALUE"""),"KKÜ")</f>
        <v>KKÜ</v>
      </c>
      <c r="C17" s="6" t="str">
        <f ca="1">IFERROR(__xludf.DUMMYFUNCTION("""COMPUTED_VALUE"""),"M")</f>
        <v>M</v>
      </c>
      <c r="D17" s="6" t="str">
        <f ca="1">IFERROR(__xludf.DUMMYFUNCTION("""COMPUTED_VALUE"""),"25m 9,0mm H5")</f>
        <v>25m 9,0mm H5</v>
      </c>
      <c r="E17" s="6" t="str">
        <f ca="1">IFERROR(__xludf.DUMMYFUNCTION("""COMPUTED_VALUE"""),"Võistkond")</f>
        <v>Võistkond</v>
      </c>
      <c r="F17" s="6" t="str">
        <f ca="1">IFERROR(__xludf.DUMMYFUNCTION("""COMPUTED_VALUE"""),"09.09.23")</f>
        <v>09.09.23</v>
      </c>
      <c r="G17" s="6">
        <f ca="1">IFERROR(__xludf.DUMMYFUNCTION("""COMPUTED_VALUE"""),89)</f>
        <v>89</v>
      </c>
      <c r="H17" s="6">
        <f ca="1">IFERROR(__xludf.DUMMYFUNCTION("""COMPUTED_VALUE"""),87)</f>
        <v>87</v>
      </c>
      <c r="I17" s="6">
        <f ca="1">IFERROR(__xludf.DUMMYFUNCTION("""COMPUTED_VALUE"""),85)</f>
        <v>85</v>
      </c>
      <c r="J17" s="6"/>
      <c r="K17" s="6"/>
      <c r="L17" s="6"/>
      <c r="M17" s="6">
        <f ca="1">IFERROR(__xludf.DUMMYFUNCTION("""COMPUTED_VALUE"""),261)</f>
        <v>261</v>
      </c>
      <c r="N17" s="6">
        <f ca="1">IFERROR(__xludf.DUMMYFUNCTION("""COMPUTED_VALUE"""),261)</f>
        <v>261</v>
      </c>
      <c r="O17" s="2"/>
    </row>
    <row r="18" spans="1:15" ht="12.75">
      <c r="A18" s="6" t="str">
        <f ca="1">IFERROR(__xludf.DUMMYFUNCTION("""COMPUTED_VALUE"""),"Allar Mürk")</f>
        <v>Allar Mürk</v>
      </c>
      <c r="B18" s="6" t="str">
        <f ca="1">IFERROR(__xludf.DUMMYFUNCTION("""COMPUTED_VALUE"""),"Sakala")</f>
        <v>Sakala</v>
      </c>
      <c r="C18" s="6" t="str">
        <f ca="1">IFERROR(__xludf.DUMMYFUNCTION("""COMPUTED_VALUE"""),"M")</f>
        <v>M</v>
      </c>
      <c r="D18" s="6" t="str">
        <f ca="1">IFERROR(__xludf.DUMMYFUNCTION("""COMPUTED_VALUE"""),"25m 9,0mm H5")</f>
        <v>25m 9,0mm H5</v>
      </c>
      <c r="E18" s="6" t="str">
        <f ca="1">IFERROR(__xludf.DUMMYFUNCTION("""COMPUTED_VALUE"""),"Võistkond")</f>
        <v>Võistkond</v>
      </c>
      <c r="F18" s="6" t="str">
        <f ca="1">IFERROR(__xludf.DUMMYFUNCTION("""COMPUTED_VALUE"""),"10.09.23")</f>
        <v>10.09.23</v>
      </c>
      <c r="G18" s="6">
        <f ca="1">IFERROR(__xludf.DUMMYFUNCTION("""COMPUTED_VALUE"""),86)</f>
        <v>86</v>
      </c>
      <c r="H18" s="6">
        <f ca="1">IFERROR(__xludf.DUMMYFUNCTION("""COMPUTED_VALUE"""),88)</f>
        <v>88</v>
      </c>
      <c r="I18" s="6">
        <f ca="1">IFERROR(__xludf.DUMMYFUNCTION("""COMPUTED_VALUE"""),87)</f>
        <v>87</v>
      </c>
      <c r="J18" s="6"/>
      <c r="K18" s="6"/>
      <c r="L18" s="6"/>
      <c r="M18" s="6">
        <f ca="1">IFERROR(__xludf.DUMMYFUNCTION("""COMPUTED_VALUE"""),261)</f>
        <v>261</v>
      </c>
      <c r="N18" s="6">
        <f ca="1">IFERROR(__xludf.DUMMYFUNCTION("""COMPUTED_VALUE"""),261)</f>
        <v>261</v>
      </c>
      <c r="O18" s="2"/>
    </row>
    <row r="19" spans="1:15" ht="12.75">
      <c r="A19" s="6" t="str">
        <f ca="1">IFERROR(__xludf.DUMMYFUNCTION("""COMPUTED_VALUE"""),"Rene Toomse")</f>
        <v>Rene Toomse</v>
      </c>
      <c r="B19" s="6" t="str">
        <f ca="1">IFERROR(__xludf.DUMMYFUNCTION("""COMPUTED_VALUE"""),"KL peastaap")</f>
        <v>KL peastaap</v>
      </c>
      <c r="C19" s="6" t="str">
        <f ca="1">IFERROR(__xludf.DUMMYFUNCTION("""COMPUTED_VALUE"""),"M")</f>
        <v>M</v>
      </c>
      <c r="D19" s="6" t="str">
        <f ca="1">IFERROR(__xludf.DUMMYFUNCTION("""COMPUTED_VALUE"""),"25m 9,0mm H5")</f>
        <v>25m 9,0mm H5</v>
      </c>
      <c r="E19" s="6" t="str">
        <f ca="1">IFERROR(__xludf.DUMMYFUNCTION("""COMPUTED_VALUE"""),"Võistkond")</f>
        <v>Võistkond</v>
      </c>
      <c r="F19" s="6" t="str">
        <f ca="1">IFERROR(__xludf.DUMMYFUNCTION("""COMPUTED_VALUE"""),"09.09.23")</f>
        <v>09.09.23</v>
      </c>
      <c r="G19" s="6">
        <f ca="1">IFERROR(__xludf.DUMMYFUNCTION("""COMPUTED_VALUE"""),88)</f>
        <v>88</v>
      </c>
      <c r="H19" s="6">
        <f ca="1">IFERROR(__xludf.DUMMYFUNCTION("""COMPUTED_VALUE"""),84)</f>
        <v>84</v>
      </c>
      <c r="I19" s="6">
        <f ca="1">IFERROR(__xludf.DUMMYFUNCTION("""COMPUTED_VALUE"""),87)</f>
        <v>87</v>
      </c>
      <c r="J19" s="6"/>
      <c r="K19" s="6"/>
      <c r="L19" s="6"/>
      <c r="M19" s="6">
        <f ca="1">IFERROR(__xludf.DUMMYFUNCTION("""COMPUTED_VALUE"""),259)</f>
        <v>259</v>
      </c>
      <c r="N19" s="6">
        <f ca="1">IFERROR(__xludf.DUMMYFUNCTION("""COMPUTED_VALUE"""),259)</f>
        <v>259</v>
      </c>
      <c r="O19" s="2"/>
    </row>
    <row r="20" spans="1:15" ht="12.75">
      <c r="A20" s="6" t="str">
        <f ca="1">IFERROR(__xludf.DUMMYFUNCTION("""COMPUTED_VALUE"""),"Maret Härm-Tilk")</f>
        <v>Maret Härm-Tilk</v>
      </c>
      <c r="B20" s="6" t="str">
        <f ca="1">IFERROR(__xludf.DUMMYFUNCTION("""COMPUTED_VALUE"""),"Lääne")</f>
        <v>Lääne</v>
      </c>
      <c r="C20" s="6" t="str">
        <f ca="1">IFERROR(__xludf.DUMMYFUNCTION("""COMPUTED_VALUE"""),"N")</f>
        <v>N</v>
      </c>
      <c r="D20" s="6" t="str">
        <f ca="1">IFERROR(__xludf.DUMMYFUNCTION("""COMPUTED_VALUE"""),"25m 9,0mm H5")</f>
        <v>25m 9,0mm H5</v>
      </c>
      <c r="E20" s="6" t="str">
        <f ca="1">IFERROR(__xludf.DUMMYFUNCTION("""COMPUTED_VALUE"""),"Võistkond")</f>
        <v>Võistkond</v>
      </c>
      <c r="F20" s="6" t="str">
        <f ca="1">IFERROR(__xludf.DUMMYFUNCTION("""COMPUTED_VALUE"""),"10.09.23")</f>
        <v>10.09.23</v>
      </c>
      <c r="G20" s="6">
        <f ca="1">IFERROR(__xludf.DUMMYFUNCTION("""COMPUTED_VALUE"""),84)</f>
        <v>84</v>
      </c>
      <c r="H20" s="6">
        <f ca="1">IFERROR(__xludf.DUMMYFUNCTION("""COMPUTED_VALUE"""),90)</f>
        <v>90</v>
      </c>
      <c r="I20" s="6">
        <f ca="1">IFERROR(__xludf.DUMMYFUNCTION("""COMPUTED_VALUE"""),85)</f>
        <v>85</v>
      </c>
      <c r="J20" s="6"/>
      <c r="K20" s="6"/>
      <c r="L20" s="6"/>
      <c r="M20" s="6">
        <f ca="1">IFERROR(__xludf.DUMMYFUNCTION("""COMPUTED_VALUE"""),259)</f>
        <v>259</v>
      </c>
      <c r="N20" s="6">
        <f ca="1">IFERROR(__xludf.DUMMYFUNCTION("""COMPUTED_VALUE"""),259)</f>
        <v>259</v>
      </c>
      <c r="O20" s="2"/>
    </row>
    <row r="21" spans="1:15" ht="12.75">
      <c r="A21" s="6" t="str">
        <f ca="1">IFERROR(__xludf.DUMMYFUNCTION("""COMPUTED_VALUE"""),"Margus Palolill")</f>
        <v>Margus Palolill</v>
      </c>
      <c r="B21" s="6" t="str">
        <f ca="1">IFERROR(__xludf.DUMMYFUNCTION("""COMPUTED_VALUE"""),"Põlva")</f>
        <v>Põlva</v>
      </c>
      <c r="C21" s="6" t="str">
        <f ca="1">IFERROR(__xludf.DUMMYFUNCTION("""COMPUTED_VALUE"""),"M")</f>
        <v>M</v>
      </c>
      <c r="D21" s="6" t="str">
        <f ca="1">IFERROR(__xludf.DUMMYFUNCTION("""COMPUTED_VALUE"""),"25m 9,0mm H5")</f>
        <v>25m 9,0mm H5</v>
      </c>
      <c r="E21" s="6" t="str">
        <f ca="1">IFERROR(__xludf.DUMMYFUNCTION("""COMPUTED_VALUE"""),"Individuaalne")</f>
        <v>Individuaalne</v>
      </c>
      <c r="F21" s="6" t="str">
        <f ca="1">IFERROR(__xludf.DUMMYFUNCTION("""COMPUTED_VALUE"""),"10.09.23")</f>
        <v>10.09.23</v>
      </c>
      <c r="G21" s="6">
        <f ca="1">IFERROR(__xludf.DUMMYFUNCTION("""COMPUTED_VALUE"""),82)</f>
        <v>82</v>
      </c>
      <c r="H21" s="6">
        <f ca="1">IFERROR(__xludf.DUMMYFUNCTION("""COMPUTED_VALUE"""),88)</f>
        <v>88</v>
      </c>
      <c r="I21" s="6">
        <f ca="1">IFERROR(__xludf.DUMMYFUNCTION("""COMPUTED_VALUE"""),89)</f>
        <v>89</v>
      </c>
      <c r="J21" s="6"/>
      <c r="K21" s="6"/>
      <c r="L21" s="6"/>
      <c r="M21" s="6">
        <f ca="1">IFERROR(__xludf.DUMMYFUNCTION("""COMPUTED_VALUE"""),259)</f>
        <v>259</v>
      </c>
      <c r="N21" s="6"/>
      <c r="O21" s="2"/>
    </row>
    <row r="22" spans="1:15" ht="12.75">
      <c r="A22" s="6" t="str">
        <f ca="1">IFERROR(__xludf.DUMMYFUNCTION("""COMPUTED_VALUE"""),"Veiko Park")</f>
        <v>Veiko Park</v>
      </c>
      <c r="B22" s="6" t="str">
        <f ca="1">IFERROR(__xludf.DUMMYFUNCTION("""COMPUTED_VALUE"""),"Võrumaa")</f>
        <v>Võrumaa</v>
      </c>
      <c r="C22" s="6" t="str">
        <f ca="1">IFERROR(__xludf.DUMMYFUNCTION("""COMPUTED_VALUE"""),"M")</f>
        <v>M</v>
      </c>
      <c r="D22" s="6" t="str">
        <f ca="1">IFERROR(__xludf.DUMMYFUNCTION("""COMPUTED_VALUE"""),"25m 9,0mm H5")</f>
        <v>25m 9,0mm H5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IFERROR(__xludf.DUMMYFUNCTION("""COMPUTED_VALUE"""),82)</f>
        <v>82</v>
      </c>
      <c r="H22" s="6">
        <f ca="1">IFERROR(__xludf.DUMMYFUNCTION("""COMPUTED_VALUE"""),91)</f>
        <v>91</v>
      </c>
      <c r="I22" s="6">
        <f ca="1">IFERROR(__xludf.DUMMYFUNCTION("""COMPUTED_VALUE"""),83)</f>
        <v>83</v>
      </c>
      <c r="J22" s="6"/>
      <c r="K22" s="6"/>
      <c r="L22" s="6"/>
      <c r="M22" s="6">
        <f ca="1">IFERROR(__xludf.DUMMYFUNCTION("""COMPUTED_VALUE"""),256)</f>
        <v>256</v>
      </c>
      <c r="N22" s="6">
        <f ca="1">IFERROR(__xludf.DUMMYFUNCTION("""COMPUTED_VALUE"""),256)</f>
        <v>256</v>
      </c>
      <c r="O22" s="2"/>
    </row>
    <row r="23" spans="1:15" ht="12.75">
      <c r="A23" s="6" t="str">
        <f ca="1">IFERROR(__xludf.DUMMYFUNCTION("""COMPUTED_VALUE"""),"Siret Niinepuu")</f>
        <v>Siret Niinepuu</v>
      </c>
      <c r="B23" s="6" t="str">
        <f ca="1">IFERROR(__xludf.DUMMYFUNCTION("""COMPUTED_VALUE"""),"Järva")</f>
        <v>Järva</v>
      </c>
      <c r="C23" s="6" t="str">
        <f ca="1">IFERROR(__xludf.DUMMYFUNCTION("""COMPUTED_VALUE"""),"N")</f>
        <v>N</v>
      </c>
      <c r="D23" s="6" t="str">
        <f ca="1">IFERROR(__xludf.DUMMYFUNCTION("""COMPUTED_VALUE"""),"25m 9,0mm H5")</f>
        <v>25m 9,0mm H5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IFERROR(__xludf.DUMMYFUNCTION("""COMPUTED_VALUE"""),86)</f>
        <v>86</v>
      </c>
      <c r="H23" s="6">
        <f ca="1">IFERROR(__xludf.DUMMYFUNCTION("""COMPUTED_VALUE"""),82)</f>
        <v>82</v>
      </c>
      <c r="I23" s="6">
        <f ca="1">IFERROR(__xludf.DUMMYFUNCTION("""COMPUTED_VALUE"""),87)</f>
        <v>87</v>
      </c>
      <c r="J23" s="6"/>
      <c r="K23" s="6"/>
      <c r="L23" s="6"/>
      <c r="M23" s="6">
        <f ca="1">IFERROR(__xludf.DUMMYFUNCTION("""COMPUTED_VALUE"""),255)</f>
        <v>255</v>
      </c>
      <c r="N23" s="6">
        <f ca="1">IFERROR(__xludf.DUMMYFUNCTION("""COMPUTED_VALUE"""),255)</f>
        <v>255</v>
      </c>
    </row>
    <row r="24" spans="1:15" ht="12.75">
      <c r="A24" s="6" t="str">
        <f ca="1">IFERROR(__xludf.DUMMYFUNCTION("""COMPUTED_VALUE"""),"Siim Illopmägi")</f>
        <v>Siim Illopmägi</v>
      </c>
      <c r="B24" s="6" t="str">
        <f ca="1">IFERROR(__xludf.DUMMYFUNCTION("""COMPUTED_VALUE"""),"Rapla")</f>
        <v>Rapla</v>
      </c>
      <c r="C24" s="6" t="str">
        <f ca="1">IFERROR(__xludf.DUMMYFUNCTION("""COMPUTED_VALUE"""),"M")</f>
        <v>M</v>
      </c>
      <c r="D24" s="6" t="str">
        <f ca="1">IFERROR(__xludf.DUMMYFUNCTION("""COMPUTED_VALUE"""),"25m 9,0mm H5")</f>
        <v>25m 9,0mm H5</v>
      </c>
      <c r="E24" s="6" t="str">
        <f ca="1">IFERROR(__xludf.DUMMYFUNCTION("""COMPUTED_VALUE"""),"Võistkond")</f>
        <v>Võistkond</v>
      </c>
      <c r="F24" s="6" t="str">
        <f ca="1">IFERROR(__xludf.DUMMYFUNCTION("""COMPUTED_VALUE"""),"10.09.23")</f>
        <v>10.09.23</v>
      </c>
      <c r="G24" s="6">
        <f ca="1">IFERROR(__xludf.DUMMYFUNCTION("""COMPUTED_VALUE"""),86)</f>
        <v>86</v>
      </c>
      <c r="H24" s="6">
        <f ca="1">IFERROR(__xludf.DUMMYFUNCTION("""COMPUTED_VALUE"""),79)</f>
        <v>79</v>
      </c>
      <c r="I24" s="6">
        <f ca="1">IFERROR(__xludf.DUMMYFUNCTION("""COMPUTED_VALUE"""),89)</f>
        <v>89</v>
      </c>
      <c r="J24" s="6"/>
      <c r="K24" s="6"/>
      <c r="L24" s="6"/>
      <c r="M24" s="6">
        <f ca="1">IFERROR(__xludf.DUMMYFUNCTION("""COMPUTED_VALUE"""),254)</f>
        <v>254</v>
      </c>
      <c r="N24" s="6">
        <f ca="1">IFERROR(__xludf.DUMMYFUNCTION("""COMPUTED_VALUE"""),254)</f>
        <v>254</v>
      </c>
      <c r="O24" s="2"/>
    </row>
    <row r="25" spans="1:15" ht="12.75">
      <c r="A25" s="6" t="str">
        <f ca="1">IFERROR(__xludf.DUMMYFUNCTION("""COMPUTED_VALUE"""),"Kristo Minn")</f>
        <v>Kristo Minn</v>
      </c>
      <c r="B25" s="6" t="str">
        <f ca="1">IFERROR(__xludf.DUMMYFUNCTION("""COMPUTED_VALUE"""),"Pärnumaa")</f>
        <v>Pärnumaa</v>
      </c>
      <c r="C25" s="6" t="str">
        <f ca="1">IFERROR(__xludf.DUMMYFUNCTION("""COMPUTED_VALUE"""),"M")</f>
        <v>M</v>
      </c>
      <c r="D25" s="6" t="str">
        <f ca="1">IFERROR(__xludf.DUMMYFUNCTION("""COMPUTED_VALUE"""),"25m 9,0mm H5")</f>
        <v>25m 9,0mm H5</v>
      </c>
      <c r="E25" s="6" t="str">
        <f ca="1">IFERROR(__xludf.DUMMYFUNCTION("""COMPUTED_VALUE"""),"Võistkond")</f>
        <v>Võistkond</v>
      </c>
      <c r="F25" s="6" t="str">
        <f ca="1">IFERROR(__xludf.DUMMYFUNCTION("""COMPUTED_VALUE"""),"09.09.23")</f>
        <v>09.09.23</v>
      </c>
      <c r="G25" s="6">
        <f ca="1">IFERROR(__xludf.DUMMYFUNCTION("""COMPUTED_VALUE"""),81)</f>
        <v>81</v>
      </c>
      <c r="H25" s="6">
        <f ca="1">IFERROR(__xludf.DUMMYFUNCTION("""COMPUTED_VALUE"""),91)</f>
        <v>91</v>
      </c>
      <c r="I25" s="6">
        <f ca="1">IFERROR(__xludf.DUMMYFUNCTION("""COMPUTED_VALUE"""),79)</f>
        <v>79</v>
      </c>
      <c r="J25" s="6"/>
      <c r="K25" s="6"/>
      <c r="L25" s="6"/>
      <c r="M25" s="6">
        <f ca="1">IFERROR(__xludf.DUMMYFUNCTION("""COMPUTED_VALUE"""),251)</f>
        <v>251</v>
      </c>
      <c r="N25" s="6">
        <f ca="1">IFERROR(__xludf.DUMMYFUNCTION("""COMPUTED_VALUE"""),251)</f>
        <v>251</v>
      </c>
      <c r="O25" s="2"/>
    </row>
    <row r="26" spans="1:15" ht="12.75">
      <c r="A26" s="6" t="str">
        <f ca="1">IFERROR(__xludf.DUMMYFUNCTION("""COMPUTED_VALUE"""),"Jaanus Mätas")</f>
        <v>Jaanus Mätas</v>
      </c>
      <c r="B26" s="6" t="str">
        <f ca="1">IFERROR(__xludf.DUMMYFUNCTION("""COMPUTED_VALUE"""),"Viru")</f>
        <v>Viru</v>
      </c>
      <c r="C26" s="6" t="str">
        <f ca="1">IFERROR(__xludf.DUMMYFUNCTION("""COMPUTED_VALUE"""),"M")</f>
        <v>M</v>
      </c>
      <c r="D26" s="6" t="str">
        <f ca="1">IFERROR(__xludf.DUMMYFUNCTION("""COMPUTED_VALUE"""),"25m 9,0mm H5")</f>
        <v>25m 9,0mm H5</v>
      </c>
      <c r="E26" s="6" t="str">
        <f ca="1">IFERROR(__xludf.DUMMYFUNCTION("""COMPUTED_VALUE"""),"Võistkond")</f>
        <v>Võistkond</v>
      </c>
      <c r="F26" s="6" t="str">
        <f ca="1">IFERROR(__xludf.DUMMYFUNCTION("""COMPUTED_VALUE"""),"10.09.23")</f>
        <v>10.09.23</v>
      </c>
      <c r="G26" s="6">
        <f ca="1">IFERROR(__xludf.DUMMYFUNCTION("""COMPUTED_VALUE"""),88)</f>
        <v>88</v>
      </c>
      <c r="H26" s="6">
        <f ca="1">IFERROR(__xludf.DUMMYFUNCTION("""COMPUTED_VALUE"""),87)</f>
        <v>87</v>
      </c>
      <c r="I26" s="6">
        <f ca="1">IFERROR(__xludf.DUMMYFUNCTION("""COMPUTED_VALUE"""),76)</f>
        <v>76</v>
      </c>
      <c r="J26" s="6"/>
      <c r="K26" s="6"/>
      <c r="L26" s="6"/>
      <c r="M26" s="6">
        <f ca="1">IFERROR(__xludf.DUMMYFUNCTION("""COMPUTED_VALUE"""),251)</f>
        <v>251</v>
      </c>
      <c r="N26" s="6">
        <f ca="1">IFERROR(__xludf.DUMMYFUNCTION("""COMPUTED_VALUE"""),251)</f>
        <v>251</v>
      </c>
    </row>
    <row r="27" spans="1:15" ht="12.75">
      <c r="A27" s="6" t="str">
        <f ca="1">IFERROR(__xludf.DUMMYFUNCTION("""COMPUTED_VALUE"""),"Margit Kaur")</f>
        <v>Margit Kaur</v>
      </c>
      <c r="B27" s="6" t="str">
        <f ca="1">IFERROR(__xludf.DUMMYFUNCTION("""COMPUTED_VALUE"""),"Pärnumaa")</f>
        <v>Pärnumaa</v>
      </c>
      <c r="C27" s="6" t="str">
        <f ca="1">IFERROR(__xludf.DUMMYFUNCTION("""COMPUTED_VALUE"""),"N")</f>
        <v>N</v>
      </c>
      <c r="D27" s="6" t="str">
        <f ca="1">IFERROR(__xludf.DUMMYFUNCTION("""COMPUTED_VALUE"""),"25m 9,0mm H5")</f>
        <v>25m 9,0mm H5</v>
      </c>
      <c r="E27" s="6" t="str">
        <f ca="1">IFERROR(__xludf.DUMMYFUNCTION("""COMPUTED_VALUE"""),"Võistkond")</f>
        <v>Võistkond</v>
      </c>
      <c r="F27" s="6" t="str">
        <f ca="1">IFERROR(__xludf.DUMMYFUNCTION("""COMPUTED_VALUE"""),"09.09.23")</f>
        <v>09.09.23</v>
      </c>
      <c r="G27" s="6">
        <f ca="1">IFERROR(__xludf.DUMMYFUNCTION("""COMPUTED_VALUE"""),79)</f>
        <v>79</v>
      </c>
      <c r="H27" s="6">
        <f ca="1">IFERROR(__xludf.DUMMYFUNCTION("""COMPUTED_VALUE"""),84)</f>
        <v>84</v>
      </c>
      <c r="I27" s="6">
        <f ca="1">IFERROR(__xludf.DUMMYFUNCTION("""COMPUTED_VALUE"""),87)</f>
        <v>87</v>
      </c>
      <c r="J27" s="6"/>
      <c r="K27" s="6"/>
      <c r="L27" s="6"/>
      <c r="M27" s="6">
        <f ca="1">IFERROR(__xludf.DUMMYFUNCTION("""COMPUTED_VALUE"""),250)</f>
        <v>250</v>
      </c>
      <c r="N27" s="6">
        <f ca="1">IFERROR(__xludf.DUMMYFUNCTION("""COMPUTED_VALUE"""),250)</f>
        <v>250</v>
      </c>
    </row>
    <row r="28" spans="1:15" ht="12.75">
      <c r="A28" s="6" t="str">
        <f ca="1">IFERROR(__xludf.DUMMYFUNCTION("""COMPUTED_VALUE"""),"Aleksandr Voronin")</f>
        <v>Aleksandr Voronin</v>
      </c>
      <c r="B28" s="6" t="str">
        <f ca="1">IFERROR(__xludf.DUMMYFUNCTION("""COMPUTED_VALUE"""),"Valgamaa")</f>
        <v>Valgamaa</v>
      </c>
      <c r="C28" s="6" t="str">
        <f ca="1">IFERROR(__xludf.DUMMYFUNCTION("""COMPUTED_VALUE"""),"M")</f>
        <v>M</v>
      </c>
      <c r="D28" s="6" t="str">
        <f ca="1">IFERROR(__xludf.DUMMYFUNCTION("""COMPUTED_VALUE"""),"25m 9,0mm H5")</f>
        <v>25m 9,0mm H5</v>
      </c>
      <c r="E28" s="6" t="str">
        <f ca="1">IFERROR(__xludf.DUMMYFUNCTION("""COMPUTED_VALUE"""),"Võistkond")</f>
        <v>Võistkond</v>
      </c>
      <c r="F28" s="6" t="str">
        <f ca="1">IFERROR(__xludf.DUMMYFUNCTION("""COMPUTED_VALUE"""),"09.09.23")</f>
        <v>09.09.23</v>
      </c>
      <c r="G28" s="6">
        <f ca="1">IFERROR(__xludf.DUMMYFUNCTION("""COMPUTED_VALUE"""),83)</f>
        <v>83</v>
      </c>
      <c r="H28" s="6">
        <f ca="1">IFERROR(__xludf.DUMMYFUNCTION("""COMPUTED_VALUE"""),79)</f>
        <v>79</v>
      </c>
      <c r="I28" s="6">
        <f ca="1">IFERROR(__xludf.DUMMYFUNCTION("""COMPUTED_VALUE"""),87)</f>
        <v>87</v>
      </c>
      <c r="J28" s="6"/>
      <c r="K28" s="6"/>
      <c r="L28" s="6"/>
      <c r="M28" s="6">
        <f ca="1">IFERROR(__xludf.DUMMYFUNCTION("""COMPUTED_VALUE"""),249)</f>
        <v>249</v>
      </c>
      <c r="N28" s="6">
        <f ca="1">IFERROR(__xludf.DUMMYFUNCTION("""COMPUTED_VALUE"""),249)</f>
        <v>249</v>
      </c>
      <c r="O28" s="2"/>
    </row>
    <row r="29" spans="1:15" ht="12.75">
      <c r="A29" s="6" t="str">
        <f ca="1">IFERROR(__xludf.DUMMYFUNCTION("""COMPUTED_VALUE"""),"Tiit Lints")</f>
        <v>Tiit Lints</v>
      </c>
      <c r="B29" s="6" t="str">
        <f ca="1">IFERROR(__xludf.DUMMYFUNCTION("""COMPUTED_VALUE"""),"Lääne")</f>
        <v>Lääne</v>
      </c>
      <c r="C29" s="6" t="str">
        <f ca="1">IFERROR(__xludf.DUMMYFUNCTION("""COMPUTED_VALUE"""),"M")</f>
        <v>M</v>
      </c>
      <c r="D29" s="6" t="str">
        <f ca="1">IFERROR(__xludf.DUMMYFUNCTION("""COMPUTED_VALUE"""),"25m 9,0mm H5")</f>
        <v>25m 9,0mm H5</v>
      </c>
      <c r="E29" s="6" t="str">
        <f ca="1">IFERROR(__xludf.DUMMYFUNCTION("""COMPUTED_VALUE"""),"Võistkond")</f>
        <v>Võistkond</v>
      </c>
      <c r="F29" s="6" t="str">
        <f ca="1">IFERROR(__xludf.DUMMYFUNCTION("""COMPUTED_VALUE"""),"10.09.23")</f>
        <v>10.09.23</v>
      </c>
      <c r="G29" s="6">
        <f ca="1">IFERROR(__xludf.DUMMYFUNCTION("""COMPUTED_VALUE"""),75)</f>
        <v>75</v>
      </c>
      <c r="H29" s="6">
        <f ca="1">IFERROR(__xludf.DUMMYFUNCTION("""COMPUTED_VALUE"""),86)</f>
        <v>86</v>
      </c>
      <c r="I29" s="6">
        <f ca="1">IFERROR(__xludf.DUMMYFUNCTION("""COMPUTED_VALUE"""),87)</f>
        <v>87</v>
      </c>
      <c r="J29" s="6"/>
      <c r="K29" s="6"/>
      <c r="L29" s="6"/>
      <c r="M29" s="6">
        <f ca="1">IFERROR(__xludf.DUMMYFUNCTION("""COMPUTED_VALUE"""),248)</f>
        <v>248</v>
      </c>
      <c r="N29" s="6">
        <f ca="1">IFERROR(__xludf.DUMMYFUNCTION("""COMPUTED_VALUE"""),248)</f>
        <v>248</v>
      </c>
      <c r="O29" s="2"/>
    </row>
    <row r="30" spans="1:15" ht="12.75">
      <c r="A30" s="6" t="str">
        <f ca="1">IFERROR(__xludf.DUMMYFUNCTION("""COMPUTED_VALUE"""),"Liselle Laurits")</f>
        <v>Liselle Laurits</v>
      </c>
      <c r="B30" s="6" t="str">
        <f ca="1">IFERROR(__xludf.DUMMYFUNCTION("""COMPUTED_VALUE"""),"Saaremaa")</f>
        <v>Saaremaa</v>
      </c>
      <c r="C30" s="6" t="str">
        <f ca="1">IFERROR(__xludf.DUMMYFUNCTION("""COMPUTED_VALUE"""),"N")</f>
        <v>N</v>
      </c>
      <c r="D30" s="6" t="str">
        <f ca="1">IFERROR(__xludf.DUMMYFUNCTION("""COMPUTED_VALUE"""),"25m 9,0mm H5")</f>
        <v>25m 9,0mm H5</v>
      </c>
      <c r="E30" s="6" t="str">
        <f ca="1">IFERROR(__xludf.DUMMYFUNCTION("""COMPUTED_VALUE"""),"Võistkond")</f>
        <v>Võistkond</v>
      </c>
      <c r="F30" s="6" t="str">
        <f ca="1">IFERROR(__xludf.DUMMYFUNCTION("""COMPUTED_VALUE"""),"09.09.23")</f>
        <v>09.09.23</v>
      </c>
      <c r="G30" s="6">
        <f ca="1">IFERROR(__xludf.DUMMYFUNCTION("""COMPUTED_VALUE"""),85)</f>
        <v>85</v>
      </c>
      <c r="H30" s="6">
        <f ca="1">IFERROR(__xludf.DUMMYFUNCTION("""COMPUTED_VALUE"""),85)</f>
        <v>85</v>
      </c>
      <c r="I30" s="6">
        <f ca="1">IFERROR(__xludf.DUMMYFUNCTION("""COMPUTED_VALUE"""),77)</f>
        <v>77</v>
      </c>
      <c r="J30" s="6"/>
      <c r="K30" s="6"/>
      <c r="L30" s="6"/>
      <c r="M30" s="6">
        <f ca="1">IFERROR(__xludf.DUMMYFUNCTION("""COMPUTED_VALUE"""),247)</f>
        <v>247</v>
      </c>
      <c r="N30" s="6">
        <f ca="1">IFERROR(__xludf.DUMMYFUNCTION("""COMPUTED_VALUE"""),247)</f>
        <v>247</v>
      </c>
      <c r="O30" s="2"/>
    </row>
    <row r="31" spans="1:15" ht="12.75">
      <c r="A31" s="6" t="str">
        <f ca="1">IFERROR(__xludf.DUMMYFUNCTION("""COMPUTED_VALUE"""),"Daimar Elp")</f>
        <v>Daimar Elp</v>
      </c>
      <c r="B31" s="6" t="str">
        <f ca="1">IFERROR(__xludf.DUMMYFUNCTION("""COMPUTED_VALUE"""),"Tartu")</f>
        <v>Tartu</v>
      </c>
      <c r="C31" s="6" t="str">
        <f ca="1">IFERROR(__xludf.DUMMYFUNCTION("""COMPUTED_VALUE"""),"M")</f>
        <v>M</v>
      </c>
      <c r="D31" s="6" t="str">
        <f ca="1">IFERROR(__xludf.DUMMYFUNCTION("""COMPUTED_VALUE"""),"25m 9,0mm H5")</f>
        <v>25m 9,0mm H5</v>
      </c>
      <c r="E31" s="6" t="str">
        <f ca="1">IFERROR(__xludf.DUMMYFUNCTION("""COMPUTED_VALUE"""),"Individuaalne")</f>
        <v>Individuaalne</v>
      </c>
      <c r="F31" s="6" t="str">
        <f ca="1">IFERROR(__xludf.DUMMYFUNCTION("""COMPUTED_VALUE"""),"10.09.23")</f>
        <v>10.09.23</v>
      </c>
      <c r="G31" s="6">
        <f ca="1">IFERROR(__xludf.DUMMYFUNCTION("""COMPUTED_VALUE"""),74)</f>
        <v>74</v>
      </c>
      <c r="H31" s="6">
        <f ca="1">IFERROR(__xludf.DUMMYFUNCTION("""COMPUTED_VALUE"""),85)</f>
        <v>85</v>
      </c>
      <c r="I31" s="6">
        <f ca="1">IFERROR(__xludf.DUMMYFUNCTION("""COMPUTED_VALUE"""),86)</f>
        <v>86</v>
      </c>
      <c r="J31" s="6"/>
      <c r="K31" s="6"/>
      <c r="L31" s="6"/>
      <c r="M31" s="6">
        <f ca="1">IFERROR(__xludf.DUMMYFUNCTION("""COMPUTED_VALUE"""),245)</f>
        <v>245</v>
      </c>
      <c r="N31" s="6"/>
      <c r="O31" s="2"/>
    </row>
    <row r="32" spans="1:15" ht="12.75">
      <c r="A32" s="6" t="str">
        <f ca="1">IFERROR(__xludf.DUMMYFUNCTION("""COMPUTED_VALUE"""),"Viia Kaldam")</f>
        <v>Viia Kaldam</v>
      </c>
      <c r="B32" s="6" t="str">
        <f ca="1">IFERROR(__xludf.DUMMYFUNCTION("""COMPUTED_VALUE"""),"Valgamaa")</f>
        <v>Valgamaa</v>
      </c>
      <c r="C32" s="6" t="str">
        <f ca="1">IFERROR(__xludf.DUMMYFUNCTION("""COMPUTED_VALUE"""),"N")</f>
        <v>N</v>
      </c>
      <c r="D32" s="6" t="str">
        <f ca="1">IFERROR(__xludf.DUMMYFUNCTION("""COMPUTED_VALUE"""),"25m 9,0mm H5")</f>
        <v>25m 9,0mm H5</v>
      </c>
      <c r="E32" s="6" t="str">
        <f ca="1">IFERROR(__xludf.DUMMYFUNCTION("""COMPUTED_VALUE"""),"Võistkond")</f>
        <v>Võistkond</v>
      </c>
      <c r="F32" s="6" t="str">
        <f ca="1">IFERROR(__xludf.DUMMYFUNCTION("""COMPUTED_VALUE"""),"09.09.23")</f>
        <v>09.09.23</v>
      </c>
      <c r="G32" s="6">
        <f ca="1">IFERROR(__xludf.DUMMYFUNCTION("""COMPUTED_VALUE"""),81)</f>
        <v>81</v>
      </c>
      <c r="H32" s="6">
        <f ca="1">IFERROR(__xludf.DUMMYFUNCTION("""COMPUTED_VALUE"""),83)</f>
        <v>83</v>
      </c>
      <c r="I32" s="6">
        <f ca="1">IFERROR(__xludf.DUMMYFUNCTION("""COMPUTED_VALUE"""),79)</f>
        <v>79</v>
      </c>
      <c r="J32" s="6"/>
      <c r="K32" s="6"/>
      <c r="L32" s="6"/>
      <c r="M32" s="6">
        <f ca="1">IFERROR(__xludf.DUMMYFUNCTION("""COMPUTED_VALUE"""),243)</f>
        <v>243</v>
      </c>
      <c r="N32" s="6">
        <f ca="1">IFERROR(__xludf.DUMMYFUNCTION("""COMPUTED_VALUE"""),243)</f>
        <v>243</v>
      </c>
    </row>
    <row r="33" spans="1:15" ht="12.75">
      <c r="A33" s="6" t="str">
        <f ca="1">IFERROR(__xludf.DUMMYFUNCTION("""COMPUTED_VALUE"""),"Indrek Varba")</f>
        <v>Indrek Varba</v>
      </c>
      <c r="B33" s="6" t="str">
        <f ca="1">IFERROR(__xludf.DUMMYFUNCTION("""COMPUTED_VALUE"""),"Tallinn")</f>
        <v>Tallinn</v>
      </c>
      <c r="C33" s="6" t="str">
        <f ca="1">IFERROR(__xludf.DUMMYFUNCTION("""COMPUTED_VALUE"""),"M")</f>
        <v>M</v>
      </c>
      <c r="D33" s="6" t="str">
        <f ca="1">IFERROR(__xludf.DUMMYFUNCTION("""COMPUTED_VALUE"""),"25m 9,0mm H5")</f>
        <v>25m 9,0mm H5</v>
      </c>
      <c r="E33" s="6" t="str">
        <f ca="1">IFERROR(__xludf.DUMMYFUNCTION("""COMPUTED_VALUE"""),"Individuaalne")</f>
        <v>Individuaalne</v>
      </c>
      <c r="F33" s="6" t="str">
        <f ca="1">IFERROR(__xludf.DUMMYFUNCTION("""COMPUTED_VALUE"""),"09.09.23")</f>
        <v>09.09.23</v>
      </c>
      <c r="G33" s="6">
        <f ca="1">IFERROR(__xludf.DUMMYFUNCTION("""COMPUTED_VALUE"""),78)</f>
        <v>78</v>
      </c>
      <c r="H33" s="6">
        <f ca="1">IFERROR(__xludf.DUMMYFUNCTION("""COMPUTED_VALUE"""),79)</f>
        <v>79</v>
      </c>
      <c r="I33" s="6">
        <f ca="1">IFERROR(__xludf.DUMMYFUNCTION("""COMPUTED_VALUE"""),84)</f>
        <v>84</v>
      </c>
      <c r="J33" s="6"/>
      <c r="K33" s="6"/>
      <c r="L33" s="6"/>
      <c r="M33" s="6">
        <f ca="1">IFERROR(__xludf.DUMMYFUNCTION("""COMPUTED_VALUE"""),241)</f>
        <v>241</v>
      </c>
      <c r="N33" s="6"/>
    </row>
    <row r="34" spans="1:15" ht="12.75">
      <c r="A34" s="6" t="str">
        <f ca="1">IFERROR(__xludf.DUMMYFUNCTION("""COMPUTED_VALUE"""),"Marit Pleiats")</f>
        <v>Marit Pleiats</v>
      </c>
      <c r="B34" s="6" t="str">
        <f ca="1">IFERROR(__xludf.DUMMYFUNCTION("""COMPUTED_VALUE"""),"Sakala")</f>
        <v>Sakala</v>
      </c>
      <c r="C34" s="6" t="str">
        <f ca="1">IFERROR(__xludf.DUMMYFUNCTION("""COMPUTED_VALUE"""),"N")</f>
        <v>N</v>
      </c>
      <c r="D34" s="6" t="str">
        <f ca="1">IFERROR(__xludf.DUMMYFUNCTION("""COMPUTED_VALUE"""),"25m 9,0mm H5")</f>
        <v>25m 9,0mm H5</v>
      </c>
      <c r="E34" s="6" t="str">
        <f ca="1">IFERROR(__xludf.DUMMYFUNCTION("""COMPUTED_VALUE"""),"Võistkond")</f>
        <v>Võistkond</v>
      </c>
      <c r="F34" s="6" t="str">
        <f ca="1">IFERROR(__xludf.DUMMYFUNCTION("""COMPUTED_VALUE"""),"10.09.23")</f>
        <v>10.09.23</v>
      </c>
      <c r="G34" s="6">
        <f ca="1">IFERROR(__xludf.DUMMYFUNCTION("""COMPUTED_VALUE"""),89)</f>
        <v>89</v>
      </c>
      <c r="H34" s="6">
        <f ca="1">IFERROR(__xludf.DUMMYFUNCTION("""COMPUTED_VALUE"""),71)</f>
        <v>71</v>
      </c>
      <c r="I34" s="6">
        <f ca="1">IFERROR(__xludf.DUMMYFUNCTION("""COMPUTED_VALUE"""),80)</f>
        <v>80</v>
      </c>
      <c r="J34" s="6"/>
      <c r="K34" s="6"/>
      <c r="L34" s="6"/>
      <c r="M34" s="6">
        <f ca="1">IFERROR(__xludf.DUMMYFUNCTION("""COMPUTED_VALUE"""),240)</f>
        <v>240</v>
      </c>
      <c r="N34" s="6">
        <f ca="1">IFERROR(__xludf.DUMMYFUNCTION("""COMPUTED_VALUE"""),240)</f>
        <v>240</v>
      </c>
      <c r="O34" s="2"/>
    </row>
    <row r="35" spans="1:15" ht="12.75">
      <c r="A35" s="6" t="str">
        <f ca="1">IFERROR(__xludf.DUMMYFUNCTION("""COMPUTED_VALUE"""),"Jaanus Viirlo")</f>
        <v>Jaanus Viirlo</v>
      </c>
      <c r="B35" s="6" t="str">
        <f ca="1">IFERROR(__xludf.DUMMYFUNCTION("""COMPUTED_VALUE"""),"Harju")</f>
        <v>Harju</v>
      </c>
      <c r="C35" s="6" t="str">
        <f ca="1">IFERROR(__xludf.DUMMYFUNCTION("""COMPUTED_VALUE"""),"M")</f>
        <v>M</v>
      </c>
      <c r="D35" s="6" t="str">
        <f ca="1">IFERROR(__xludf.DUMMYFUNCTION("""COMPUTED_VALUE"""),"25m 9,0mm H5")</f>
        <v>25m 9,0mm H5</v>
      </c>
      <c r="E35" s="6" t="str">
        <f ca="1">IFERROR(__xludf.DUMMYFUNCTION("""COMPUTED_VALUE"""),"Võistkond")</f>
        <v>Võistkond</v>
      </c>
      <c r="F35" s="6" t="str">
        <f ca="1">IFERROR(__xludf.DUMMYFUNCTION("""COMPUTED_VALUE"""),"10.09.23")</f>
        <v>10.09.23</v>
      </c>
      <c r="G35" s="6">
        <f ca="1">IFERROR(__xludf.DUMMYFUNCTION("""COMPUTED_VALUE"""),79)</f>
        <v>79</v>
      </c>
      <c r="H35" s="6">
        <f ca="1">IFERROR(__xludf.DUMMYFUNCTION("""COMPUTED_VALUE"""),76)</f>
        <v>76</v>
      </c>
      <c r="I35" s="6">
        <f ca="1">IFERROR(__xludf.DUMMYFUNCTION("""COMPUTED_VALUE"""),83)</f>
        <v>83</v>
      </c>
      <c r="J35" s="6"/>
      <c r="K35" s="6"/>
      <c r="L35" s="6"/>
      <c r="M35" s="6">
        <f ca="1">IFERROR(__xludf.DUMMYFUNCTION("""COMPUTED_VALUE"""),238)</f>
        <v>238</v>
      </c>
      <c r="N35" s="6">
        <f ca="1">IFERROR(__xludf.DUMMYFUNCTION("""COMPUTED_VALUE"""),238)</f>
        <v>238</v>
      </c>
      <c r="O35" s="2"/>
    </row>
    <row r="36" spans="1:15" ht="12.75">
      <c r="A36" s="6" t="str">
        <f ca="1">IFERROR(__xludf.DUMMYFUNCTION("""COMPUTED_VALUE"""),"Kristel Kaasiku")</f>
        <v>Kristel Kaasiku</v>
      </c>
      <c r="B36" s="6" t="str">
        <f ca="1">IFERROR(__xludf.DUMMYFUNCTION("""COMPUTED_VALUE"""),"Rapla")</f>
        <v>Rapla</v>
      </c>
      <c r="C36" s="6" t="str">
        <f ca="1">IFERROR(__xludf.DUMMYFUNCTION("""COMPUTED_VALUE"""),"N")</f>
        <v>N</v>
      </c>
      <c r="D36" s="6" t="str">
        <f ca="1">IFERROR(__xludf.DUMMYFUNCTION("""COMPUTED_VALUE"""),"25m 9,0mm H5")</f>
        <v>25m 9,0mm H5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IFERROR(__xludf.DUMMYFUNCTION("""COMPUTED_VALUE"""),81)</f>
        <v>81</v>
      </c>
      <c r="H36" s="6">
        <f ca="1">IFERROR(__xludf.DUMMYFUNCTION("""COMPUTED_VALUE"""),75)</f>
        <v>75</v>
      </c>
      <c r="I36" s="6">
        <f ca="1">IFERROR(__xludf.DUMMYFUNCTION("""COMPUTED_VALUE"""),82)</f>
        <v>82</v>
      </c>
      <c r="J36" s="6"/>
      <c r="K36" s="6"/>
      <c r="L36" s="6"/>
      <c r="M36" s="6">
        <f ca="1">IFERROR(__xludf.DUMMYFUNCTION("""COMPUTED_VALUE"""),238)</f>
        <v>238</v>
      </c>
      <c r="N36" s="6">
        <f ca="1">IFERROR(__xludf.DUMMYFUNCTION("""COMPUTED_VALUE"""),238)</f>
        <v>238</v>
      </c>
      <c r="O36" s="2"/>
    </row>
    <row r="37" spans="1:15" ht="12.75">
      <c r="A37" s="6" t="str">
        <f ca="1">IFERROR(__xludf.DUMMYFUNCTION("""COMPUTED_VALUE"""),"Katrin Arulepp")</f>
        <v>Katrin Arulepp</v>
      </c>
      <c r="B37" s="6" t="str">
        <f ca="1">IFERROR(__xludf.DUMMYFUNCTION("""COMPUTED_VALUE"""),"Põlva")</f>
        <v>Põlva</v>
      </c>
      <c r="C37" s="6" t="str">
        <f ca="1">IFERROR(__xludf.DUMMYFUNCTION("""COMPUTED_VALUE"""),"N")</f>
        <v>N</v>
      </c>
      <c r="D37" s="6" t="str">
        <f ca="1">IFERROR(__xludf.DUMMYFUNCTION("""COMPUTED_VALUE"""),"25m 9,0mm H5")</f>
        <v>25m 9,0mm H5</v>
      </c>
      <c r="E37" s="6" t="str">
        <f ca="1">IFERROR(__xludf.DUMMYFUNCTION("""COMPUTED_VALUE"""),"Võistkond")</f>
        <v>Võistkond</v>
      </c>
      <c r="F37" s="6" t="str">
        <f ca="1">IFERROR(__xludf.DUMMYFUNCTION("""COMPUTED_VALUE"""),"10.09.23")</f>
        <v>10.09.23</v>
      </c>
      <c r="G37" s="6">
        <f ca="1">IFERROR(__xludf.DUMMYFUNCTION("""COMPUTED_VALUE"""),78)</f>
        <v>78</v>
      </c>
      <c r="H37" s="6">
        <f ca="1">IFERROR(__xludf.DUMMYFUNCTION("""COMPUTED_VALUE"""),80)</f>
        <v>80</v>
      </c>
      <c r="I37" s="6">
        <f ca="1">IFERROR(__xludf.DUMMYFUNCTION("""COMPUTED_VALUE"""),79)</f>
        <v>79</v>
      </c>
      <c r="J37" s="6"/>
      <c r="K37" s="6"/>
      <c r="L37" s="6"/>
      <c r="M37" s="6">
        <f ca="1">IFERROR(__xludf.DUMMYFUNCTION("""COMPUTED_VALUE"""),237)</f>
        <v>237</v>
      </c>
      <c r="N37" s="6">
        <f ca="1">IFERROR(__xludf.DUMMYFUNCTION("""COMPUTED_VALUE"""),237)</f>
        <v>237</v>
      </c>
      <c r="O37" s="2"/>
    </row>
    <row r="38" spans="1:15" ht="12.75">
      <c r="A38" s="6" t="str">
        <f ca="1">IFERROR(__xludf.DUMMYFUNCTION("""COMPUTED_VALUE"""),"Kaire Taar")</f>
        <v>Kaire Taar</v>
      </c>
      <c r="B38" s="6" t="str">
        <f ca="1">IFERROR(__xludf.DUMMYFUNCTION("""COMPUTED_VALUE"""),"Harju")</f>
        <v>Harju</v>
      </c>
      <c r="C38" s="6" t="str">
        <f ca="1">IFERROR(__xludf.DUMMYFUNCTION("""COMPUTED_VALUE"""),"N")</f>
        <v>N</v>
      </c>
      <c r="D38" s="6" t="str">
        <f ca="1">IFERROR(__xludf.DUMMYFUNCTION("""COMPUTED_VALUE"""),"25m 9,0mm H5")</f>
        <v>25m 9,0mm H5</v>
      </c>
      <c r="E38" s="6" t="str">
        <f ca="1">IFERROR(__xludf.DUMMYFUNCTION("""COMPUTED_VALUE"""),"Võistkond")</f>
        <v>Võistkond</v>
      </c>
      <c r="F38" s="6" t="str">
        <f ca="1">IFERROR(__xludf.DUMMYFUNCTION("""COMPUTED_VALUE"""),"10.09.23")</f>
        <v>10.09.23</v>
      </c>
      <c r="G38" s="6">
        <f ca="1">IFERROR(__xludf.DUMMYFUNCTION("""COMPUTED_VALUE"""),73)</f>
        <v>73</v>
      </c>
      <c r="H38" s="6">
        <f ca="1">IFERROR(__xludf.DUMMYFUNCTION("""COMPUTED_VALUE"""),78)</f>
        <v>78</v>
      </c>
      <c r="I38" s="6">
        <f ca="1">IFERROR(__xludf.DUMMYFUNCTION("""COMPUTED_VALUE"""),82)</f>
        <v>82</v>
      </c>
      <c r="J38" s="6"/>
      <c r="K38" s="6"/>
      <c r="L38" s="6"/>
      <c r="M38" s="6">
        <f ca="1">IFERROR(__xludf.DUMMYFUNCTION("""COMPUTED_VALUE"""),233)</f>
        <v>233</v>
      </c>
      <c r="N38" s="6">
        <f ca="1">IFERROR(__xludf.DUMMYFUNCTION("""COMPUTED_VALUE"""),233)</f>
        <v>233</v>
      </c>
      <c r="O38" s="2"/>
    </row>
    <row r="39" spans="1:15" ht="12.75">
      <c r="A39" s="6" t="str">
        <f ca="1">IFERROR(__xludf.DUMMYFUNCTION("""COMPUTED_VALUE"""),"Janis Krupinš")</f>
        <v>Janis Krupinš</v>
      </c>
      <c r="B39" s="6" t="str">
        <f ca="1">IFERROR(__xludf.DUMMYFUNCTION("""COMPUTED_VALUE"""),"Saaremaa")</f>
        <v>Saaremaa</v>
      </c>
      <c r="C39" s="6" t="str">
        <f ca="1">IFERROR(__xludf.DUMMYFUNCTION("""COMPUTED_VALUE"""),"M")</f>
        <v>M</v>
      </c>
      <c r="D39" s="6" t="str">
        <f ca="1">IFERROR(__xludf.DUMMYFUNCTION("""COMPUTED_VALUE"""),"25m 9,0mm H5")</f>
        <v>25m 9,0mm H5</v>
      </c>
      <c r="E39" s="6" t="str">
        <f ca="1">IFERROR(__xludf.DUMMYFUNCTION("""COMPUTED_VALUE"""),"Individuaalne")</f>
        <v>Individuaalne</v>
      </c>
      <c r="F39" s="6" t="str">
        <f ca="1">IFERROR(__xludf.DUMMYFUNCTION("""COMPUTED_VALUE"""),"09.09.23")</f>
        <v>09.09.23</v>
      </c>
      <c r="G39" s="6">
        <f ca="1">IFERROR(__xludf.DUMMYFUNCTION("""COMPUTED_VALUE"""),79)</f>
        <v>79</v>
      </c>
      <c r="H39" s="6">
        <f ca="1">IFERROR(__xludf.DUMMYFUNCTION("""COMPUTED_VALUE"""),74)</f>
        <v>74</v>
      </c>
      <c r="I39" s="6">
        <f ca="1">IFERROR(__xludf.DUMMYFUNCTION("""COMPUTED_VALUE"""),79)</f>
        <v>79</v>
      </c>
      <c r="J39" s="6"/>
      <c r="K39" s="6"/>
      <c r="L39" s="6"/>
      <c r="M39" s="6">
        <f ca="1">IFERROR(__xludf.DUMMYFUNCTION("""COMPUTED_VALUE"""),232)</f>
        <v>232</v>
      </c>
      <c r="N39" s="6"/>
      <c r="O39" s="2"/>
    </row>
    <row r="40" spans="1:15" ht="12.75">
      <c r="A40" s="6" t="str">
        <f ca="1">IFERROR(__xludf.DUMMYFUNCTION("""COMPUTED_VALUE"""),"Kristjan Kajaste")</f>
        <v>Kristjan Kajaste</v>
      </c>
      <c r="B40" s="6" t="str">
        <f ca="1">IFERROR(__xludf.DUMMYFUNCTION("""COMPUTED_VALUE"""),"Rapla")</f>
        <v>Rapla</v>
      </c>
      <c r="C40" s="6" t="str">
        <f ca="1">IFERROR(__xludf.DUMMYFUNCTION("""COMPUTED_VALUE"""),"M")</f>
        <v>M</v>
      </c>
      <c r="D40" s="6" t="str">
        <f ca="1">IFERROR(__xludf.DUMMYFUNCTION("""COMPUTED_VALUE"""),"25m 9,0mm H5")</f>
        <v>25m 9,0mm H5</v>
      </c>
      <c r="E40" s="6" t="str">
        <f ca="1">IFERROR(__xludf.DUMMYFUNCTION("""COMPUTED_VALUE"""),"Individuaalne")</f>
        <v>Individuaalne</v>
      </c>
      <c r="F40" s="6" t="str">
        <f ca="1">IFERROR(__xludf.DUMMYFUNCTION("""COMPUTED_VALUE"""),"10.09.23")</f>
        <v>10.09.23</v>
      </c>
      <c r="G40" s="6">
        <f ca="1">IFERROR(__xludf.DUMMYFUNCTION("""COMPUTED_VALUE"""),75)</f>
        <v>75</v>
      </c>
      <c r="H40" s="6">
        <f ca="1">IFERROR(__xludf.DUMMYFUNCTION("""COMPUTED_VALUE"""),75)</f>
        <v>75</v>
      </c>
      <c r="I40" s="6">
        <f ca="1">IFERROR(__xludf.DUMMYFUNCTION("""COMPUTED_VALUE"""),74)</f>
        <v>74</v>
      </c>
      <c r="J40" s="6"/>
      <c r="K40" s="6"/>
      <c r="L40" s="6"/>
      <c r="M40" s="6">
        <f ca="1">IFERROR(__xludf.DUMMYFUNCTION("""COMPUTED_VALUE"""),224)</f>
        <v>224</v>
      </c>
      <c r="N40" s="6"/>
      <c r="O40" s="2"/>
    </row>
    <row r="41" spans="1:15" ht="12.75">
      <c r="A41" s="6" t="str">
        <f ca="1">IFERROR(__xludf.DUMMYFUNCTION("""COMPUTED_VALUE"""),"Karme Hain")</f>
        <v>Karme Hain</v>
      </c>
      <c r="B41" s="6" t="str">
        <f ca="1">IFERROR(__xludf.DUMMYFUNCTION("""COMPUTED_VALUE"""),"Võrumaa")</f>
        <v>Võrumaa</v>
      </c>
      <c r="C41" s="6" t="str">
        <f ca="1">IFERROR(__xludf.DUMMYFUNCTION("""COMPUTED_VALUE"""),"N")</f>
        <v>N</v>
      </c>
      <c r="D41" s="6" t="str">
        <f ca="1">IFERROR(__xludf.DUMMYFUNCTION("""COMPUTED_VALUE"""),"25m 9,0mm H5")</f>
        <v>25m 9,0mm H5</v>
      </c>
      <c r="E41" s="6" t="str">
        <f ca="1">IFERROR(__xludf.DUMMYFUNCTION("""COMPUTED_VALUE"""),"Võistkond")</f>
        <v>Võistkond</v>
      </c>
      <c r="F41" s="6" t="str">
        <f ca="1">IFERROR(__xludf.DUMMYFUNCTION("""COMPUTED_VALUE"""),"10.09.23")</f>
        <v>10.09.23</v>
      </c>
      <c r="G41" s="6">
        <f ca="1">IFERROR(__xludf.DUMMYFUNCTION("""COMPUTED_VALUE"""),74)</f>
        <v>74</v>
      </c>
      <c r="H41" s="6">
        <f ca="1">IFERROR(__xludf.DUMMYFUNCTION("""COMPUTED_VALUE"""),74)</f>
        <v>74</v>
      </c>
      <c r="I41" s="6">
        <f ca="1">IFERROR(__xludf.DUMMYFUNCTION("""COMPUTED_VALUE"""),76)</f>
        <v>76</v>
      </c>
      <c r="J41" s="6"/>
      <c r="K41" s="6"/>
      <c r="L41" s="6"/>
      <c r="M41" s="6">
        <f ca="1">IFERROR(__xludf.DUMMYFUNCTION("""COMPUTED_VALUE"""),224)</f>
        <v>224</v>
      </c>
      <c r="N41" s="6">
        <f ca="1">IFERROR(__xludf.DUMMYFUNCTION("""COMPUTED_VALUE"""),224)</f>
        <v>224</v>
      </c>
    </row>
    <row r="42" spans="1:15" ht="12.75">
      <c r="A42" s="6" t="str">
        <f ca="1">IFERROR(__xludf.DUMMYFUNCTION("""COMPUTED_VALUE"""),"Katrin Leppik")</f>
        <v>Katrin Leppik</v>
      </c>
      <c r="B42" s="6" t="str">
        <f ca="1">IFERROR(__xludf.DUMMYFUNCTION("""COMPUTED_VALUE"""),"KKÜ")</f>
        <v>KKÜ</v>
      </c>
      <c r="C42" s="6" t="str">
        <f ca="1">IFERROR(__xludf.DUMMYFUNCTION("""COMPUTED_VALUE"""),"N")</f>
        <v>N</v>
      </c>
      <c r="D42" s="6" t="str">
        <f ca="1">IFERROR(__xludf.DUMMYFUNCTION("""COMPUTED_VALUE"""),"25m 9,0mm H5")</f>
        <v>25m 9,0mm H5</v>
      </c>
      <c r="E42" s="6" t="str">
        <f ca="1">IFERROR(__xludf.DUMMYFUNCTION("""COMPUTED_VALUE"""),"Võistkond")</f>
        <v>Võistkond</v>
      </c>
      <c r="F42" s="6" t="str">
        <f ca="1">IFERROR(__xludf.DUMMYFUNCTION("""COMPUTED_VALUE"""),"09.09.23")</f>
        <v>09.09.23</v>
      </c>
      <c r="G42" s="6">
        <f ca="1">IFERROR(__xludf.DUMMYFUNCTION("""COMPUTED_VALUE"""),68)</f>
        <v>68</v>
      </c>
      <c r="H42" s="6">
        <f ca="1">IFERROR(__xludf.DUMMYFUNCTION("""COMPUTED_VALUE"""),76)</f>
        <v>76</v>
      </c>
      <c r="I42" s="6">
        <f ca="1">IFERROR(__xludf.DUMMYFUNCTION("""COMPUTED_VALUE"""),79)</f>
        <v>79</v>
      </c>
      <c r="J42" s="6"/>
      <c r="K42" s="6"/>
      <c r="L42" s="6"/>
      <c r="M42" s="6">
        <f ca="1">IFERROR(__xludf.DUMMYFUNCTION("""COMPUTED_VALUE"""),223)</f>
        <v>223</v>
      </c>
      <c r="N42" s="6">
        <f ca="1">IFERROR(__xludf.DUMMYFUNCTION("""COMPUTED_VALUE"""),223)</f>
        <v>223</v>
      </c>
      <c r="O42" s="2"/>
    </row>
    <row r="43" spans="1:15" ht="12.75">
      <c r="A43" s="6" t="str">
        <f ca="1">IFERROR(__xludf.DUMMYFUNCTION("""COMPUTED_VALUE"""),"Signe Viggor")</f>
        <v>Signe Viggor</v>
      </c>
      <c r="B43" s="6" t="str">
        <f ca="1">IFERROR(__xludf.DUMMYFUNCTION("""COMPUTED_VALUE"""),"Tartu")</f>
        <v>Tartu</v>
      </c>
      <c r="C43" s="6" t="str">
        <f ca="1">IFERROR(__xludf.DUMMYFUNCTION("""COMPUTED_VALUE"""),"N")</f>
        <v>N</v>
      </c>
      <c r="D43" s="6" t="str">
        <f ca="1">IFERROR(__xludf.DUMMYFUNCTION("""COMPUTED_VALUE"""),"25m 9,0mm H5")</f>
        <v>25m 9,0mm H5</v>
      </c>
      <c r="E43" s="6" t="str">
        <f ca="1">IFERROR(__xludf.DUMMYFUNCTION("""COMPUTED_VALUE"""),"Võistkond")</f>
        <v>Võistkond</v>
      </c>
      <c r="F43" s="6" t="str">
        <f ca="1">IFERROR(__xludf.DUMMYFUNCTION("""COMPUTED_VALUE"""),"10.09.23")</f>
        <v>10.09.23</v>
      </c>
      <c r="G43" s="6">
        <f ca="1">IFERROR(__xludf.DUMMYFUNCTION("""COMPUTED_VALUE"""),70)</f>
        <v>70</v>
      </c>
      <c r="H43" s="6">
        <f ca="1">IFERROR(__xludf.DUMMYFUNCTION("""COMPUTED_VALUE"""),76)</f>
        <v>76</v>
      </c>
      <c r="I43" s="6">
        <f ca="1">IFERROR(__xludf.DUMMYFUNCTION("""COMPUTED_VALUE"""),77)</f>
        <v>77</v>
      </c>
      <c r="J43" s="6"/>
      <c r="K43" s="6"/>
      <c r="L43" s="6"/>
      <c r="M43" s="6">
        <f ca="1">IFERROR(__xludf.DUMMYFUNCTION("""COMPUTED_VALUE"""),223)</f>
        <v>223</v>
      </c>
      <c r="N43" s="6">
        <f ca="1">IFERROR(__xludf.DUMMYFUNCTION("""COMPUTED_VALUE"""),223)</f>
        <v>223</v>
      </c>
      <c r="O43" s="2"/>
    </row>
    <row r="44" spans="1:15" ht="12.75">
      <c r="A44" s="13" t="str">
        <f ca="1">IFERROR(__xludf.DUMMYFUNCTION("""COMPUTED_VALUE"""),"Piret Rehe")</f>
        <v>Piret Rehe</v>
      </c>
      <c r="B44" s="6" t="str">
        <f ca="1">IFERROR(__xludf.DUMMYFUNCTION("""COMPUTED_VALUE"""),"Viru")</f>
        <v>Viru</v>
      </c>
      <c r="C44" s="6" t="str">
        <f ca="1">IFERROR(__xludf.DUMMYFUNCTION("""COMPUTED_VALUE"""),"N")</f>
        <v>N</v>
      </c>
      <c r="D44" s="6" t="str">
        <f ca="1">IFERROR(__xludf.DUMMYFUNCTION("""COMPUTED_VALUE"""),"25m 9,0mm H5")</f>
        <v>25m 9,0mm H5</v>
      </c>
      <c r="E44" s="6" t="str">
        <f ca="1">IFERROR(__xludf.DUMMYFUNCTION("""COMPUTED_VALUE"""),"Võistkond")</f>
        <v>Võistkond</v>
      </c>
      <c r="F44" s="6" t="str">
        <f ca="1">IFERROR(__xludf.DUMMYFUNCTION("""COMPUTED_VALUE"""),"10.09.23")</f>
        <v>10.09.23</v>
      </c>
      <c r="G44" s="6">
        <f ca="1">IFERROR(__xludf.DUMMYFUNCTION("""COMPUTED_VALUE"""),67)</f>
        <v>67</v>
      </c>
      <c r="H44" s="6">
        <f ca="1">IFERROR(__xludf.DUMMYFUNCTION("""COMPUTED_VALUE"""),54)</f>
        <v>54</v>
      </c>
      <c r="I44" s="6">
        <f ca="1">IFERROR(__xludf.DUMMYFUNCTION("""COMPUTED_VALUE"""),72)</f>
        <v>72</v>
      </c>
      <c r="J44" s="6"/>
      <c r="K44" s="6"/>
      <c r="L44" s="6"/>
      <c r="M44" s="6">
        <f ca="1">IFERROR(__xludf.DUMMYFUNCTION("""COMPUTED_VALUE"""),193)</f>
        <v>193</v>
      </c>
      <c r="N44" s="6">
        <f ca="1">IFERROR(__xludf.DUMMYFUNCTION("""COMPUTED_VALUE"""),193)</f>
        <v>193</v>
      </c>
      <c r="O44" s="2"/>
    </row>
    <row r="45" spans="1:15" ht="12.75">
      <c r="A45" s="13" t="str">
        <f ca="1">IFERROR(__xludf.DUMMYFUNCTION("""COMPUTED_VALUE"""),"Raigo Talv")</f>
        <v>Raigo Talv</v>
      </c>
      <c r="B45" s="6" t="str">
        <f ca="1">IFERROR(__xludf.DUMMYFUNCTION("""COMPUTED_VALUE"""),"Põlva")</f>
        <v>Põlva</v>
      </c>
      <c r="C45" s="6" t="str">
        <f ca="1">IFERROR(__xludf.DUMMYFUNCTION("""COMPUTED_VALUE"""),"M")</f>
        <v>M</v>
      </c>
      <c r="D45" s="6" t="str">
        <f ca="1">IFERROR(__xludf.DUMMYFUNCTION("""COMPUTED_VALUE"""),"25m 9,0mm H5")</f>
        <v>25m 9,0mm H5</v>
      </c>
      <c r="E45" s="6" t="str">
        <f ca="1">IFERROR(__xludf.DUMMYFUNCTION("""COMPUTED_VALUE"""),"Võistkond")</f>
        <v>Võistkond</v>
      </c>
      <c r="F45" s="6" t="str">
        <f ca="1">IFERROR(__xludf.DUMMYFUNCTION("""COMPUTED_VALUE"""),"10.09.23")</f>
        <v>10.09.23</v>
      </c>
      <c r="G45" s="6">
        <f ca="1">IFERROR(__xludf.DUMMYFUNCTION("""COMPUTED_VALUE"""),53)</f>
        <v>53</v>
      </c>
      <c r="H45" s="6">
        <f ca="1">IFERROR(__xludf.DUMMYFUNCTION("""COMPUTED_VALUE"""),45)</f>
        <v>45</v>
      </c>
      <c r="I45" s="6">
        <f ca="1">IFERROR(__xludf.DUMMYFUNCTION("""COMPUTED_VALUE"""),48)</f>
        <v>48</v>
      </c>
      <c r="J45" s="6"/>
      <c r="K45" s="6"/>
      <c r="L45" s="6"/>
      <c r="M45" s="6">
        <f ca="1">IFERROR(__xludf.DUMMYFUNCTION("""COMPUTED_VALUE"""),146)</f>
        <v>146</v>
      </c>
      <c r="N45" s="6">
        <f ca="1">IFERROR(__xludf.DUMMYFUNCTION("""COMPUTED_VALUE"""),146)</f>
        <v>146</v>
      </c>
      <c r="O45" s="2"/>
    </row>
    <row r="46" spans="1:15" ht="12.75">
      <c r="A46" s="13"/>
      <c r="O46" s="2"/>
    </row>
    <row r="47" spans="1:15" ht="12.75">
      <c r="N47" s="2"/>
      <c r="O47" s="2"/>
    </row>
    <row r="48" spans="1:15" ht="12.75">
      <c r="N48" s="2"/>
      <c r="O48" s="2"/>
    </row>
    <row r="49" spans="14:15" ht="12.75">
      <c r="N49" s="2"/>
      <c r="O49" s="2"/>
    </row>
    <row r="50" spans="14:15" ht="12.75">
      <c r="N50" s="2"/>
      <c r="O50" s="2"/>
    </row>
    <row r="51" spans="14:15" ht="12.75">
      <c r="N51" s="2"/>
      <c r="O51" s="2"/>
    </row>
    <row r="52" spans="14:15" ht="12.75">
      <c r="N52" s="2"/>
      <c r="O52" s="2"/>
    </row>
    <row r="53" spans="14:15" ht="12.75">
      <c r="N53" s="2"/>
      <c r="O53" s="2"/>
    </row>
    <row r="54" spans="14:15" ht="12.75">
      <c r="N54" s="2"/>
      <c r="O54" s="2"/>
    </row>
    <row r="55" spans="14:15" ht="12.75">
      <c r="N55" s="2"/>
      <c r="O55" s="2"/>
    </row>
    <row r="56" spans="14:15" ht="12.75">
      <c r="O56" s="2"/>
    </row>
    <row r="57" spans="14:15" ht="12.75">
      <c r="O57" s="2"/>
    </row>
    <row r="58" spans="14:15" ht="12.75">
      <c r="O58" s="2"/>
    </row>
    <row r="59" spans="14:15" ht="12.75">
      <c r="O59" s="2"/>
    </row>
    <row r="60" spans="14:15" ht="12.75">
      <c r="O60" s="2"/>
    </row>
    <row r="61" spans="14:15" ht="12.75">
      <c r="O61" s="2"/>
    </row>
    <row r="62" spans="14:15" ht="12.75">
      <c r="O62" s="2"/>
    </row>
    <row r="63" spans="14:15" ht="12.75">
      <c r="O63" s="2"/>
    </row>
    <row r="64" spans="14:15" ht="12.75">
      <c r="O64" s="2"/>
    </row>
    <row r="65" spans="15:15" ht="12.75">
      <c r="O65" s="2"/>
    </row>
    <row r="66" spans="15:15" ht="12.75">
      <c r="O66" s="2"/>
    </row>
    <row r="67" spans="15:15" ht="12.75">
      <c r="O67" s="2"/>
    </row>
    <row r="68" spans="15:15" ht="12.75">
      <c r="O68" s="2"/>
    </row>
    <row r="69" spans="15:15" ht="12.75">
      <c r="O69" s="2"/>
    </row>
    <row r="70" spans="15:15" ht="12.75">
      <c r="O70" s="2"/>
    </row>
    <row r="71" spans="15:15" ht="12.75">
      <c r="O71" s="2"/>
    </row>
    <row r="72" spans="15:15" ht="12.75">
      <c r="O72" s="2"/>
    </row>
    <row r="73" spans="15:15" ht="12.75">
      <c r="O73" s="2"/>
    </row>
    <row r="74" spans="15:15" ht="12.75">
      <c r="O74" s="2"/>
    </row>
    <row r="75" spans="15:15" ht="12.75">
      <c r="O75" s="2"/>
    </row>
    <row r="76" spans="15:15" ht="12.75">
      <c r="O76" s="2"/>
    </row>
    <row r="77" spans="15:15" ht="12.75">
      <c r="O77" s="2"/>
    </row>
    <row r="78" spans="15:15" ht="12.75">
      <c r="O78" s="2"/>
    </row>
    <row r="79" spans="15:15" ht="12.75">
      <c r="O79" s="2"/>
    </row>
    <row r="80" spans="15:15" ht="12.75">
      <c r="O80" s="2"/>
    </row>
    <row r="81" spans="15:15" ht="12.75">
      <c r="O81" s="2"/>
    </row>
    <row r="82" spans="15:15" ht="12.75">
      <c r="O82" s="2"/>
    </row>
    <row r="83" spans="15:15" ht="12.75">
      <c r="O83" s="2"/>
    </row>
    <row r="84" spans="15:15" ht="12.75">
      <c r="O84" s="2"/>
    </row>
    <row r="85" spans="15:15" ht="12.75">
      <c r="O85" s="2"/>
    </row>
    <row r="86" spans="15:15" ht="12.75">
      <c r="O86" s="2"/>
    </row>
    <row r="87" spans="15:15" ht="12.75">
      <c r="O87" s="2"/>
    </row>
    <row r="88" spans="15:15" ht="12.75">
      <c r="O88" s="2"/>
    </row>
    <row r="89" spans="15:15" ht="12.75">
      <c r="O89" s="2"/>
    </row>
    <row r="90" spans="15:15" ht="12.75">
      <c r="O90" s="2"/>
    </row>
    <row r="91" spans="15:15" ht="12.75">
      <c r="O91" s="2"/>
    </row>
    <row r="92" spans="15:15" ht="12.75">
      <c r="O92" s="2"/>
    </row>
    <row r="93" spans="15:15" ht="12.75">
      <c r="O93" s="2"/>
    </row>
    <row r="94" spans="15:15" ht="12.75">
      <c r="O94" s="2"/>
    </row>
    <row r="95" spans="15:15" ht="12.75">
      <c r="O95" s="2"/>
    </row>
    <row r="96" spans="15:15" ht="12.75">
      <c r="O96" s="2"/>
    </row>
    <row r="97" spans="15:15" ht="12.75">
      <c r="O97" s="2"/>
    </row>
    <row r="98" spans="15:15" ht="12.75">
      <c r="O98" s="2"/>
    </row>
    <row r="99" spans="15:15" ht="12.75">
      <c r="O99" s="2"/>
    </row>
    <row r="100" spans="15:15" ht="12.75">
      <c r="O100" s="2"/>
    </row>
    <row r="101" spans="15:15" ht="12.75">
      <c r="O101" s="2"/>
    </row>
    <row r="102" spans="15:15" ht="12.75">
      <c r="O102" s="2"/>
    </row>
    <row r="103" spans="15:15" ht="12.75">
      <c r="O103" s="2"/>
    </row>
    <row r="104" spans="15:15" ht="12.75">
      <c r="O104" s="2"/>
    </row>
    <row r="105" spans="15:15" ht="12.75">
      <c r="O105" s="2"/>
    </row>
    <row r="106" spans="15:15" ht="12.75">
      <c r="O106" s="2"/>
    </row>
    <row r="107" spans="15:15" ht="12.75">
      <c r="O107" s="2"/>
    </row>
    <row r="108" spans="15:15" ht="12.75">
      <c r="O108" s="2"/>
    </row>
    <row r="109" spans="15:15" ht="12.75">
      <c r="O109" s="2"/>
    </row>
    <row r="110" spans="15:15" ht="12.75">
      <c r="O110" s="2"/>
    </row>
    <row r="111" spans="15:15" ht="12.75">
      <c r="O111" s="2"/>
    </row>
    <row r="112" spans="15:15" ht="12.75">
      <c r="O112" s="2"/>
    </row>
    <row r="113" spans="15:15" ht="12.75">
      <c r="O113" s="2"/>
    </row>
    <row r="114" spans="15:15" ht="12.75">
      <c r="O114" s="2"/>
    </row>
    <row r="115" spans="15:15" ht="12.75">
      <c r="O115" s="2"/>
    </row>
    <row r="116" spans="15:15" ht="12.75">
      <c r="O116" s="2"/>
    </row>
    <row r="117" spans="15:15" ht="12.75">
      <c r="O117" s="2"/>
    </row>
    <row r="118" spans="15:15" ht="12.75">
      <c r="O118" s="2"/>
    </row>
    <row r="119" spans="15:15" ht="12.75">
      <c r="O119" s="2"/>
    </row>
    <row r="120" spans="15:15" ht="12.75">
      <c r="O120" s="2"/>
    </row>
    <row r="121" spans="15:15" ht="12.75">
      <c r="O121" s="2"/>
    </row>
    <row r="122" spans="15:15" ht="12.75">
      <c r="O122" s="2"/>
    </row>
    <row r="123" spans="15:15" ht="12.75">
      <c r="O123" s="2"/>
    </row>
    <row r="124" spans="15:15" ht="12.75">
      <c r="O124" s="2"/>
    </row>
    <row r="125" spans="15:15" ht="12.75">
      <c r="O125" s="2"/>
    </row>
    <row r="126" spans="15:15" ht="12.75">
      <c r="O126" s="2"/>
    </row>
    <row r="127" spans="15:15" ht="12.75">
      <c r="O127" s="2"/>
    </row>
    <row r="128" spans="15:15" ht="12.75">
      <c r="O128" s="2"/>
    </row>
    <row r="129" spans="15:15" ht="12.75">
      <c r="O129" s="2"/>
    </row>
    <row r="130" spans="15:15" ht="12.75">
      <c r="O130" s="2"/>
    </row>
    <row r="131" spans="15:15" ht="12.75">
      <c r="O131" s="2"/>
    </row>
    <row r="132" spans="15:15" ht="12.75">
      <c r="O132" s="2"/>
    </row>
    <row r="133" spans="15:15" ht="12.75">
      <c r="O133" s="2"/>
    </row>
    <row r="134" spans="15:15" ht="12.75">
      <c r="O134" s="2"/>
    </row>
    <row r="135" spans="15:15" ht="12.75">
      <c r="O135" s="2"/>
    </row>
    <row r="136" spans="15:15" ht="12.75">
      <c r="O136" s="2"/>
    </row>
    <row r="137" spans="15:15" ht="12.75">
      <c r="O137" s="2"/>
    </row>
    <row r="138" spans="15:15" ht="12.75">
      <c r="O138" s="2"/>
    </row>
    <row r="139" spans="15:15" ht="12.75">
      <c r="O139" s="2"/>
    </row>
    <row r="140" spans="15:15" ht="12.75">
      <c r="O140" s="2"/>
    </row>
    <row r="141" spans="15:15" ht="12.75">
      <c r="O141" s="2"/>
    </row>
    <row r="142" spans="15:15" ht="12.75">
      <c r="O142" s="2"/>
    </row>
    <row r="143" spans="15:15" ht="12.75">
      <c r="O143" s="2"/>
    </row>
    <row r="144" spans="15:15" ht="12.75">
      <c r="O144" s="2"/>
    </row>
    <row r="145" spans="15:15" ht="12.75">
      <c r="O145" s="2"/>
    </row>
    <row r="146" spans="15:15" ht="12.75">
      <c r="O146" s="2"/>
    </row>
    <row r="147" spans="15:15" ht="12.75">
      <c r="O147" s="2"/>
    </row>
    <row r="148" spans="15:15" ht="12.75">
      <c r="O148" s="2"/>
    </row>
    <row r="149" spans="15:15" ht="12.75">
      <c r="O149" s="2"/>
    </row>
    <row r="150" spans="15:15" ht="12.75">
      <c r="O150" s="2"/>
    </row>
    <row r="151" spans="15:15" ht="12.75">
      <c r="O151" s="2"/>
    </row>
    <row r="152" spans="15:15" ht="12.75">
      <c r="O152" s="2"/>
    </row>
    <row r="153" spans="15:15" ht="12.75">
      <c r="O153" s="2"/>
    </row>
    <row r="154" spans="15:15" ht="12.75">
      <c r="O154" s="2"/>
    </row>
    <row r="155" spans="15:15" ht="12.75">
      <c r="O155" s="2"/>
    </row>
    <row r="156" spans="15:15" ht="12.75">
      <c r="O156" s="2"/>
    </row>
    <row r="157" spans="15:15" ht="12.75">
      <c r="O157" s="2"/>
    </row>
    <row r="158" spans="15:15" ht="12.75">
      <c r="O158" s="2"/>
    </row>
    <row r="159" spans="15:15" ht="12.75">
      <c r="O159" s="2"/>
    </row>
    <row r="160" spans="15:15" ht="12.75">
      <c r="O160" s="2"/>
    </row>
    <row r="161" spans="15:15" ht="12.75">
      <c r="O161" s="2"/>
    </row>
    <row r="162" spans="15:15" ht="12.75">
      <c r="O162" s="2"/>
    </row>
    <row r="163" spans="15:15" ht="12.75">
      <c r="O163" s="2"/>
    </row>
    <row r="164" spans="15:15" ht="12.75">
      <c r="O164" s="2"/>
    </row>
    <row r="165" spans="15:15" ht="12.75">
      <c r="O165" s="2"/>
    </row>
    <row r="166" spans="15:15" ht="12.75">
      <c r="O166" s="2"/>
    </row>
    <row r="167" spans="15:15" ht="12.75">
      <c r="O167" s="2"/>
    </row>
    <row r="168" spans="15:15" ht="12.75">
      <c r="O168" s="2"/>
    </row>
    <row r="169" spans="15:15" ht="12.75">
      <c r="O169" s="2"/>
    </row>
    <row r="170" spans="15:15" ht="12.75">
      <c r="O170" s="2"/>
    </row>
    <row r="171" spans="15:15" ht="12.75">
      <c r="O171" s="2"/>
    </row>
    <row r="172" spans="15:15" ht="12.75">
      <c r="O172" s="2"/>
    </row>
    <row r="173" spans="15:15" ht="12.75">
      <c r="O173" s="2"/>
    </row>
    <row r="174" spans="15:15" ht="12.75">
      <c r="O174" s="2"/>
    </row>
    <row r="175" spans="15:15" ht="12.75">
      <c r="O175" s="2"/>
    </row>
    <row r="176" spans="15:15" ht="12.75">
      <c r="O176" s="2"/>
    </row>
    <row r="177" spans="15:15" ht="12.75">
      <c r="O177" s="2"/>
    </row>
    <row r="178" spans="15:15" ht="12.75">
      <c r="O178" s="2"/>
    </row>
    <row r="179" spans="15:15" ht="12.75">
      <c r="O179" s="2"/>
    </row>
    <row r="180" spans="15:15" ht="12.75">
      <c r="O180" s="2"/>
    </row>
    <row r="181" spans="15:15" ht="12.75">
      <c r="O181" s="2"/>
    </row>
    <row r="182" spans="15:15" ht="12.75">
      <c r="O182" s="2"/>
    </row>
    <row r="183" spans="15:15" ht="12.75">
      <c r="O183" s="2"/>
    </row>
    <row r="184" spans="15:15" ht="12.75">
      <c r="O184" s="2"/>
    </row>
    <row r="185" spans="15:15" ht="12.75">
      <c r="O185" s="2"/>
    </row>
    <row r="186" spans="15:15" ht="12.75">
      <c r="O186" s="2"/>
    </row>
    <row r="187" spans="15:15" ht="12.75">
      <c r="O187" s="2"/>
    </row>
    <row r="188" spans="15:15" ht="12.75">
      <c r="O188" s="2"/>
    </row>
    <row r="189" spans="15:15" ht="12.75">
      <c r="O189" s="2"/>
    </row>
    <row r="190" spans="15:15" ht="12.75">
      <c r="O190" s="2"/>
    </row>
    <row r="191" spans="15:15" ht="12.75">
      <c r="O191" s="2"/>
    </row>
    <row r="192" spans="15:15" ht="12.75">
      <c r="O192" s="2"/>
    </row>
    <row r="193" spans="15:15" ht="12.75">
      <c r="O193" s="2"/>
    </row>
    <row r="194" spans="15:15" ht="12.75">
      <c r="O194" s="2"/>
    </row>
    <row r="195" spans="15:15" ht="12.75">
      <c r="O195" s="2"/>
    </row>
    <row r="196" spans="15:15" ht="12.75">
      <c r="O196" s="2"/>
    </row>
    <row r="197" spans="15:15" ht="12.75">
      <c r="O197" s="2"/>
    </row>
    <row r="198" spans="15:15" ht="12.75">
      <c r="O198" s="2"/>
    </row>
    <row r="199" spans="15:15" ht="12.75">
      <c r="O199" s="2"/>
    </row>
    <row r="200" spans="15:15" ht="12.75">
      <c r="O200" s="2"/>
    </row>
    <row r="201" spans="15:15" ht="12.75">
      <c r="O201" s="2"/>
    </row>
    <row r="202" spans="15:15" ht="12.75">
      <c r="O202" s="2"/>
    </row>
    <row r="203" spans="15:15" ht="12.75">
      <c r="O203" s="2"/>
    </row>
    <row r="204" spans="15:15" ht="12.75">
      <c r="O204" s="2"/>
    </row>
    <row r="205" spans="15:15" ht="12.75">
      <c r="O205" s="2"/>
    </row>
    <row r="206" spans="15:15" ht="12.75">
      <c r="O206" s="2"/>
    </row>
    <row r="207" spans="15:15" ht="12.75">
      <c r="O207" s="2"/>
    </row>
    <row r="208" spans="15:15" ht="12.75">
      <c r="O208" s="2"/>
    </row>
    <row r="209" spans="15:15" ht="12.75">
      <c r="O209" s="2"/>
    </row>
    <row r="210" spans="15:15" ht="12.75">
      <c r="O210" s="2"/>
    </row>
    <row r="211" spans="15:15" ht="12.75">
      <c r="O211" s="2"/>
    </row>
    <row r="212" spans="15:15" ht="12.75">
      <c r="O212" s="2"/>
    </row>
    <row r="213" spans="15:15" ht="12.75">
      <c r="O213" s="2"/>
    </row>
    <row r="214" spans="15:15" ht="12.75">
      <c r="O214" s="2"/>
    </row>
    <row r="215" spans="15:15" ht="12.75">
      <c r="O215" s="2"/>
    </row>
    <row r="216" spans="15:15" ht="12.75">
      <c r="O216" s="2"/>
    </row>
    <row r="217" spans="15:15" ht="12.75">
      <c r="O217" s="2"/>
    </row>
    <row r="218" spans="15:15" ht="12.75">
      <c r="O218" s="2"/>
    </row>
    <row r="219" spans="15:15" ht="12.75">
      <c r="O219" s="2"/>
    </row>
    <row r="220" spans="15:15" ht="12.75">
      <c r="O220" s="2"/>
    </row>
    <row r="221" spans="15:15" ht="12.75">
      <c r="O221" s="2"/>
    </row>
    <row r="222" spans="15:15" ht="12.75">
      <c r="O222" s="2"/>
    </row>
    <row r="223" spans="15:15" ht="12.75">
      <c r="O223" s="2"/>
    </row>
    <row r="224" spans="15:15" ht="12.75">
      <c r="O224" s="2"/>
    </row>
    <row r="225" spans="15:15" ht="12.75">
      <c r="O225" s="2"/>
    </row>
    <row r="226" spans="15:15" ht="12.75">
      <c r="O226" s="2"/>
    </row>
    <row r="227" spans="15:15" ht="12.75">
      <c r="O227" s="2"/>
    </row>
    <row r="228" spans="15:15" ht="12.75">
      <c r="O228" s="2"/>
    </row>
    <row r="229" spans="15:15" ht="12.75">
      <c r="O229" s="2"/>
    </row>
    <row r="230" spans="15:15" ht="12.75">
      <c r="O230" s="2"/>
    </row>
    <row r="231" spans="15:15" ht="12.75">
      <c r="O231" s="2"/>
    </row>
    <row r="232" spans="15:15" ht="12.75">
      <c r="O232" s="2"/>
    </row>
    <row r="233" spans="15:15" ht="12.75">
      <c r="O233" s="2"/>
    </row>
    <row r="234" spans="15:15" ht="12.75">
      <c r="O234" s="2"/>
    </row>
    <row r="235" spans="15:15" ht="12.75">
      <c r="O235" s="2"/>
    </row>
    <row r="236" spans="15:15" ht="12.75">
      <c r="O236" s="2"/>
    </row>
    <row r="237" spans="15:15" ht="12.75">
      <c r="O237" s="2"/>
    </row>
    <row r="238" spans="15:15" ht="12.75">
      <c r="O238" s="2"/>
    </row>
    <row r="239" spans="15:15" ht="12.75">
      <c r="O239" s="2"/>
    </row>
    <row r="240" spans="15:15" ht="12.75">
      <c r="O240" s="2"/>
    </row>
    <row r="241" spans="15:15" ht="12.75">
      <c r="O241" s="2"/>
    </row>
    <row r="242" spans="15:15" ht="12.75">
      <c r="O242" s="2"/>
    </row>
    <row r="243" spans="15:15" ht="12.75">
      <c r="O243" s="2"/>
    </row>
    <row r="244" spans="15:15" ht="12.75">
      <c r="O244" s="2"/>
    </row>
    <row r="245" spans="15:15" ht="12.75">
      <c r="O245" s="2"/>
    </row>
    <row r="246" spans="15:15" ht="12.75">
      <c r="O246" s="2"/>
    </row>
    <row r="247" spans="15:15" ht="12.75">
      <c r="O247" s="2"/>
    </row>
    <row r="248" spans="15:15" ht="12.75">
      <c r="O248" s="2"/>
    </row>
    <row r="249" spans="15:15" ht="12.75">
      <c r="O249" s="2"/>
    </row>
    <row r="250" spans="15:15" ht="12.75">
      <c r="O250" s="2"/>
    </row>
    <row r="251" spans="15:15" ht="12.75">
      <c r="O251" s="2"/>
    </row>
    <row r="252" spans="15:15" ht="12.75">
      <c r="O252" s="2"/>
    </row>
    <row r="253" spans="15:15" ht="12.75">
      <c r="O253" s="2"/>
    </row>
    <row r="254" spans="15:15" ht="12.75">
      <c r="O254" s="2"/>
    </row>
    <row r="255" spans="15:15" ht="12.75">
      <c r="O255" s="2"/>
    </row>
    <row r="256" spans="15:15" ht="12.75">
      <c r="O256" s="2"/>
    </row>
    <row r="257" spans="15:15" ht="12.75">
      <c r="O257" s="2"/>
    </row>
    <row r="258" spans="15:15" ht="12.75">
      <c r="O258" s="2"/>
    </row>
    <row r="259" spans="15:15" ht="12.75">
      <c r="O259" s="2"/>
    </row>
    <row r="260" spans="15:15" ht="12.75">
      <c r="O260" s="2"/>
    </row>
    <row r="261" spans="15:15" ht="12.75">
      <c r="O261" s="2"/>
    </row>
    <row r="262" spans="15:15" ht="12.75">
      <c r="O262" s="2"/>
    </row>
    <row r="263" spans="15:15" ht="12.75">
      <c r="O263" s="2"/>
    </row>
    <row r="264" spans="15:15" ht="12.75">
      <c r="O264" s="2"/>
    </row>
    <row r="265" spans="15:15" ht="12.75">
      <c r="O265" s="2"/>
    </row>
    <row r="266" spans="15:15" ht="12.75">
      <c r="O266" s="2"/>
    </row>
    <row r="267" spans="15:15" ht="12.75">
      <c r="O267" s="2"/>
    </row>
    <row r="268" spans="15:15" ht="12.75">
      <c r="O268" s="2"/>
    </row>
    <row r="269" spans="15:15" ht="12.75">
      <c r="O269" s="2"/>
    </row>
    <row r="270" spans="15:15" ht="12.75">
      <c r="O270" s="2"/>
    </row>
    <row r="271" spans="15:15" ht="12.75">
      <c r="O271" s="2"/>
    </row>
    <row r="272" spans="15:15" ht="12.75">
      <c r="O272" s="2"/>
    </row>
    <row r="273" spans="15:15" ht="12.75">
      <c r="O273" s="2"/>
    </row>
    <row r="274" spans="15:15" ht="12.75">
      <c r="O274" s="2"/>
    </row>
    <row r="275" spans="15:15" ht="12.75">
      <c r="O275" s="2"/>
    </row>
    <row r="276" spans="15:15" ht="12.75">
      <c r="O276" s="2"/>
    </row>
    <row r="277" spans="15:15" ht="12.75">
      <c r="O277" s="2"/>
    </row>
    <row r="278" spans="15:15" ht="12.75">
      <c r="O278" s="2"/>
    </row>
    <row r="279" spans="15:15" ht="12.75">
      <c r="O279" s="2"/>
    </row>
    <row r="280" spans="15:15" ht="12.75">
      <c r="O280" s="2"/>
    </row>
    <row r="281" spans="15:15" ht="12.75">
      <c r="O281" s="2"/>
    </row>
    <row r="282" spans="15:15" ht="12.75">
      <c r="O282" s="2"/>
    </row>
    <row r="283" spans="15:15" ht="12.75">
      <c r="O283" s="2"/>
    </row>
    <row r="284" spans="15:15" ht="12.75">
      <c r="O284" s="2"/>
    </row>
    <row r="285" spans="15:15" ht="12.75">
      <c r="O285" s="2"/>
    </row>
    <row r="286" spans="15:15" ht="12.75">
      <c r="O286" s="2"/>
    </row>
    <row r="287" spans="15:15" ht="12.75">
      <c r="O287" s="2"/>
    </row>
    <row r="288" spans="15:15" ht="12.75">
      <c r="O288" s="2"/>
    </row>
    <row r="289" spans="15:15" ht="12.75">
      <c r="O289" s="2"/>
    </row>
    <row r="290" spans="15:15" ht="12.75">
      <c r="O290" s="2"/>
    </row>
    <row r="291" spans="15:15" ht="12.75">
      <c r="O291" s="2"/>
    </row>
    <row r="292" spans="15:15" ht="12.75">
      <c r="O292" s="2"/>
    </row>
    <row r="293" spans="15:15" ht="12.75">
      <c r="O293" s="2"/>
    </row>
    <row r="294" spans="15:15" ht="12.75">
      <c r="O294" s="2"/>
    </row>
    <row r="295" spans="15:15" ht="12.75">
      <c r="O295" s="2"/>
    </row>
    <row r="296" spans="15:15" ht="12.75">
      <c r="O296" s="2"/>
    </row>
    <row r="297" spans="15:15" ht="12.75">
      <c r="O297" s="2"/>
    </row>
    <row r="298" spans="15:15" ht="12.75">
      <c r="O298" s="2"/>
    </row>
    <row r="299" spans="15:15" ht="12.75">
      <c r="O299" s="2"/>
    </row>
    <row r="300" spans="15:15" ht="12.75">
      <c r="O300" s="2"/>
    </row>
    <row r="301" spans="15:15" ht="12.75">
      <c r="O301" s="2"/>
    </row>
    <row r="302" spans="15:15" ht="12.75">
      <c r="O302" s="2"/>
    </row>
    <row r="303" spans="15:15" ht="12.75">
      <c r="O303" s="2"/>
    </row>
    <row r="304" spans="15:15" ht="12.75">
      <c r="O304" s="2"/>
    </row>
    <row r="305" spans="15:15" ht="12.75">
      <c r="O305" s="2"/>
    </row>
    <row r="306" spans="15:15" ht="12.75">
      <c r="O306" s="2"/>
    </row>
    <row r="307" spans="15:15" ht="12.75">
      <c r="O307" s="2"/>
    </row>
    <row r="308" spans="15:15" ht="12.75">
      <c r="O308" s="2"/>
    </row>
    <row r="309" spans="15:15" ht="12.75">
      <c r="O309" s="2"/>
    </row>
    <row r="310" spans="15:15" ht="12.75">
      <c r="O310" s="2"/>
    </row>
    <row r="311" spans="15:15" ht="12.75">
      <c r="O311" s="2"/>
    </row>
    <row r="312" spans="15:15" ht="12.75">
      <c r="O312" s="2"/>
    </row>
    <row r="313" spans="15:15" ht="12.75">
      <c r="O313" s="2"/>
    </row>
    <row r="314" spans="15:15" ht="12.75">
      <c r="O314" s="2"/>
    </row>
    <row r="315" spans="15:15" ht="12.75">
      <c r="O315" s="2"/>
    </row>
    <row r="316" spans="15:15" ht="12.75">
      <c r="O316" s="2"/>
    </row>
    <row r="317" spans="15:15" ht="12.75">
      <c r="O317" s="2"/>
    </row>
    <row r="318" spans="15:15" ht="12.75">
      <c r="O318" s="2"/>
    </row>
    <row r="319" spans="15:15" ht="12.75">
      <c r="O319" s="2"/>
    </row>
    <row r="320" spans="15:15" ht="12.75">
      <c r="O320" s="2"/>
    </row>
    <row r="321" spans="15:15" ht="12.75">
      <c r="O321" s="2"/>
    </row>
    <row r="322" spans="15:15" ht="12.75">
      <c r="O322" s="2"/>
    </row>
    <row r="323" spans="15:15" ht="12.75">
      <c r="O323" s="2"/>
    </row>
    <row r="324" spans="15:15" ht="12.75">
      <c r="O324" s="2"/>
    </row>
    <row r="325" spans="15:15" ht="12.75">
      <c r="O325" s="2"/>
    </row>
    <row r="326" spans="15:15" ht="12.75">
      <c r="O326" s="2"/>
    </row>
    <row r="327" spans="15:15" ht="12.75">
      <c r="O327" s="2"/>
    </row>
    <row r="328" spans="15:15" ht="12.75">
      <c r="O328" s="2"/>
    </row>
    <row r="329" spans="15:15" ht="12.75">
      <c r="O329" s="2"/>
    </row>
    <row r="330" spans="15:15" ht="12.75">
      <c r="O330" s="2"/>
    </row>
    <row r="331" spans="15:15" ht="12.75">
      <c r="O331" s="2"/>
    </row>
    <row r="332" spans="15:15" ht="12.75">
      <c r="O332" s="2"/>
    </row>
    <row r="333" spans="15:15" ht="12.75">
      <c r="O333" s="2"/>
    </row>
    <row r="334" spans="15:15" ht="12.75">
      <c r="O334" s="2"/>
    </row>
    <row r="335" spans="15:15" ht="12.75">
      <c r="O335" s="2"/>
    </row>
    <row r="336" spans="15:15" ht="12.75">
      <c r="O336" s="2"/>
    </row>
    <row r="337" spans="15:15" ht="12.75">
      <c r="O337" s="2"/>
    </row>
    <row r="338" spans="15:15" ht="12.75">
      <c r="O338" s="2"/>
    </row>
    <row r="339" spans="15:15" ht="12.75">
      <c r="O339" s="2"/>
    </row>
    <row r="340" spans="15:15" ht="12.75">
      <c r="O340" s="2"/>
    </row>
    <row r="341" spans="15:15" ht="12.75">
      <c r="O341" s="2"/>
    </row>
    <row r="342" spans="15:15" ht="12.75">
      <c r="O342" s="2"/>
    </row>
    <row r="343" spans="15:15" ht="12.75">
      <c r="O343" s="2"/>
    </row>
    <row r="344" spans="15:15" ht="12.75">
      <c r="O344" s="2"/>
    </row>
    <row r="345" spans="15:15" ht="12.75">
      <c r="O345" s="2"/>
    </row>
    <row r="346" spans="15:15" ht="12.75">
      <c r="O346" s="2"/>
    </row>
    <row r="347" spans="15:15" ht="12.75">
      <c r="O347" s="2"/>
    </row>
    <row r="348" spans="15:15" ht="12.75">
      <c r="O348" s="2"/>
    </row>
    <row r="349" spans="15:15" ht="12.75">
      <c r="O349" s="2"/>
    </row>
    <row r="350" spans="15:15" ht="12.75">
      <c r="O350" s="2"/>
    </row>
    <row r="351" spans="15:15" ht="12.75">
      <c r="O351" s="2"/>
    </row>
    <row r="352" spans="15:15" ht="12.75">
      <c r="O352" s="2"/>
    </row>
    <row r="353" spans="15:15" ht="12.75">
      <c r="O353" s="2"/>
    </row>
    <row r="354" spans="15:15" ht="12.75">
      <c r="O354" s="2"/>
    </row>
    <row r="355" spans="15:15" ht="12.75">
      <c r="O355" s="2"/>
    </row>
    <row r="356" spans="15:15" ht="12.75">
      <c r="O356" s="2"/>
    </row>
    <row r="357" spans="15:15" ht="12.75">
      <c r="O357" s="2"/>
    </row>
    <row r="358" spans="15:15" ht="12.75">
      <c r="O358" s="2"/>
    </row>
    <row r="359" spans="15:15" ht="12.75">
      <c r="O359" s="2"/>
    </row>
    <row r="360" spans="15:15" ht="12.75">
      <c r="O360" s="2"/>
    </row>
    <row r="361" spans="15:15" ht="12.75">
      <c r="O361" s="2"/>
    </row>
    <row r="362" spans="15:15" ht="12.75">
      <c r="O362" s="2"/>
    </row>
    <row r="363" spans="15:15" ht="12.75">
      <c r="O363" s="2"/>
    </row>
    <row r="364" spans="15:15" ht="12.75">
      <c r="O364" s="2"/>
    </row>
    <row r="365" spans="15:15" ht="12.75">
      <c r="O365" s="2"/>
    </row>
    <row r="366" spans="15:15" ht="12.75">
      <c r="O366" s="2"/>
    </row>
    <row r="367" spans="15:15" ht="12.75">
      <c r="O367" s="2"/>
    </row>
    <row r="368" spans="15:15" ht="12.75">
      <c r="O368" s="2"/>
    </row>
    <row r="369" spans="15:15" ht="12.75">
      <c r="O369" s="2"/>
    </row>
    <row r="370" spans="15:15" ht="12.75">
      <c r="O370" s="2"/>
    </row>
    <row r="371" spans="15:15" ht="12.75">
      <c r="O371" s="2"/>
    </row>
    <row r="372" spans="15:15" ht="12.75">
      <c r="O372" s="2"/>
    </row>
    <row r="373" spans="15:15" ht="12.75">
      <c r="O373" s="2"/>
    </row>
    <row r="374" spans="15:15" ht="12.75">
      <c r="O374" s="2"/>
    </row>
    <row r="375" spans="15:15" ht="12.75">
      <c r="O375" s="2"/>
    </row>
    <row r="376" spans="15:15" ht="12.75">
      <c r="O376" s="2"/>
    </row>
    <row r="377" spans="15:15" ht="12.75">
      <c r="O377" s="2"/>
    </row>
    <row r="378" spans="15:15" ht="12.75">
      <c r="O378" s="2"/>
    </row>
    <row r="379" spans="15:15" ht="12.75">
      <c r="O379" s="2"/>
    </row>
    <row r="380" spans="15:15" ht="12.75">
      <c r="O380" s="2"/>
    </row>
    <row r="381" spans="15:15" ht="12.75">
      <c r="O381" s="2"/>
    </row>
    <row r="382" spans="15:15" ht="12.75">
      <c r="O382" s="2"/>
    </row>
    <row r="383" spans="15:15" ht="12.75">
      <c r="O383" s="2"/>
    </row>
    <row r="384" spans="15:15" ht="12.75">
      <c r="O384" s="2"/>
    </row>
    <row r="385" spans="15:15" ht="12.75">
      <c r="O385" s="2"/>
    </row>
    <row r="386" spans="15:15" ht="12.75">
      <c r="O386" s="2"/>
    </row>
    <row r="387" spans="15:15" ht="12.75">
      <c r="O387" s="2"/>
    </row>
    <row r="388" spans="15:15" ht="12.75">
      <c r="O388" s="2"/>
    </row>
    <row r="389" spans="15:15" ht="12.75">
      <c r="O389" s="2"/>
    </row>
    <row r="390" spans="15:15" ht="12.75">
      <c r="O390" s="2"/>
    </row>
    <row r="391" spans="15:15" ht="12.75">
      <c r="O391" s="2"/>
    </row>
    <row r="392" spans="15:15" ht="12.75">
      <c r="O392" s="2"/>
    </row>
    <row r="393" spans="15:15" ht="12.75">
      <c r="O393" s="2"/>
    </row>
    <row r="394" spans="15:15" ht="12.75">
      <c r="O394" s="2"/>
    </row>
    <row r="395" spans="15:15" ht="12.75">
      <c r="O395" s="2"/>
    </row>
    <row r="396" spans="15:15" ht="12.75">
      <c r="O396" s="2"/>
    </row>
    <row r="397" spans="15:15" ht="12.75">
      <c r="O397" s="2"/>
    </row>
    <row r="398" spans="15:15" ht="12.75">
      <c r="O398" s="2"/>
    </row>
    <row r="399" spans="15:15" ht="12.75">
      <c r="O399" s="2"/>
    </row>
    <row r="400" spans="15:15" ht="12.75">
      <c r="O400" s="2"/>
    </row>
    <row r="401" spans="15:15" ht="12.75">
      <c r="O401" s="2"/>
    </row>
    <row r="402" spans="15:15" ht="12.75">
      <c r="O402" s="2"/>
    </row>
    <row r="403" spans="15:15" ht="12.75">
      <c r="O403" s="2"/>
    </row>
    <row r="404" spans="15:15" ht="12.75">
      <c r="O404" s="2"/>
    </row>
    <row r="405" spans="15:15" ht="12.75">
      <c r="O405" s="2"/>
    </row>
    <row r="406" spans="15:15" ht="12.75">
      <c r="O406" s="2"/>
    </row>
    <row r="407" spans="15:15" ht="12.75">
      <c r="O407" s="2"/>
    </row>
    <row r="408" spans="15:15" ht="12.75">
      <c r="O408" s="2"/>
    </row>
    <row r="409" spans="15:15" ht="12.75">
      <c r="O409" s="2"/>
    </row>
    <row r="410" spans="15:15" ht="12.75">
      <c r="O410" s="2"/>
    </row>
    <row r="411" spans="15:15" ht="12.75">
      <c r="O411" s="2"/>
    </row>
    <row r="412" spans="15:15" ht="12.75">
      <c r="O412" s="2"/>
    </row>
    <row r="413" spans="15:15" ht="12.75">
      <c r="O413" s="2"/>
    </row>
    <row r="414" spans="15:15" ht="12.75">
      <c r="O414" s="2"/>
    </row>
    <row r="415" spans="15:15" ht="12.75">
      <c r="O415" s="2"/>
    </row>
    <row r="416" spans="15:15" ht="12.75">
      <c r="O416" s="2"/>
    </row>
    <row r="417" spans="15:15" ht="12.75">
      <c r="O417" s="2"/>
    </row>
    <row r="418" spans="15:15" ht="12.75">
      <c r="O418" s="2"/>
    </row>
    <row r="419" spans="15:15" ht="12.75">
      <c r="O419" s="2"/>
    </row>
    <row r="420" spans="15:15" ht="12.75">
      <c r="O420" s="2"/>
    </row>
    <row r="421" spans="15:15" ht="12.75">
      <c r="O421" s="2"/>
    </row>
    <row r="422" spans="15:15" ht="12.75">
      <c r="O422" s="2"/>
    </row>
    <row r="423" spans="15:15" ht="12.75">
      <c r="O423" s="2"/>
    </row>
    <row r="424" spans="15:15" ht="12.75">
      <c r="O424" s="2"/>
    </row>
    <row r="425" spans="15:15" ht="12.75">
      <c r="O425" s="2"/>
    </row>
    <row r="426" spans="15:15" ht="12.75">
      <c r="O426" s="2"/>
    </row>
    <row r="427" spans="15:15" ht="12.75">
      <c r="O427" s="2"/>
    </row>
    <row r="428" spans="15:15" ht="12.75">
      <c r="O428" s="2"/>
    </row>
    <row r="429" spans="15:15" ht="12.75">
      <c r="O429" s="2"/>
    </row>
    <row r="430" spans="15:15" ht="12.75">
      <c r="O430" s="2"/>
    </row>
    <row r="431" spans="15:15" ht="12.75">
      <c r="O431" s="2"/>
    </row>
    <row r="432" spans="15:15" ht="12.75">
      <c r="O432" s="2"/>
    </row>
    <row r="433" spans="15:15" ht="12.75">
      <c r="O433" s="2"/>
    </row>
    <row r="434" spans="15:15" ht="12.75">
      <c r="O434" s="2"/>
    </row>
    <row r="435" spans="15:15" ht="12.75">
      <c r="O435" s="2"/>
    </row>
    <row r="436" spans="15:15" ht="12.75">
      <c r="O436" s="2"/>
    </row>
    <row r="437" spans="15:15" ht="12.75">
      <c r="O437" s="2"/>
    </row>
    <row r="438" spans="15:15" ht="12.75">
      <c r="O438" s="2"/>
    </row>
    <row r="439" spans="15:15" ht="12.75">
      <c r="O439" s="2"/>
    </row>
    <row r="440" spans="15:15" ht="12.75">
      <c r="O440" s="2"/>
    </row>
    <row r="441" spans="15:15" ht="12.75">
      <c r="O441" s="2"/>
    </row>
    <row r="442" spans="15:15" ht="12.75">
      <c r="O442" s="2"/>
    </row>
    <row r="443" spans="15:15" ht="12.75">
      <c r="O443" s="2"/>
    </row>
    <row r="444" spans="15:15" ht="12.75">
      <c r="O444" s="2"/>
    </row>
    <row r="445" spans="15:15" ht="12.75">
      <c r="O445" s="2"/>
    </row>
    <row r="446" spans="15:15" ht="12.75">
      <c r="O446" s="2"/>
    </row>
    <row r="447" spans="15:15" ht="12.75">
      <c r="O447" s="2"/>
    </row>
    <row r="448" spans="15:15" ht="12.75">
      <c r="O448" s="2"/>
    </row>
    <row r="449" spans="15:15" ht="12.75">
      <c r="O449" s="2"/>
    </row>
    <row r="450" spans="15:15" ht="12.75">
      <c r="O450" s="2"/>
    </row>
    <row r="451" spans="15:15" ht="12.75">
      <c r="O451" s="2"/>
    </row>
    <row r="452" spans="15:15" ht="12.75">
      <c r="O452" s="2"/>
    </row>
    <row r="453" spans="15:15" ht="12.75">
      <c r="O453" s="2"/>
    </row>
    <row r="454" spans="15:15" ht="12.75">
      <c r="O454" s="2"/>
    </row>
    <row r="455" spans="15:15" ht="12.75">
      <c r="O455" s="2"/>
    </row>
    <row r="456" spans="15:15" ht="12.75">
      <c r="O456" s="2"/>
    </row>
    <row r="457" spans="15:15" ht="12.75">
      <c r="O457" s="2"/>
    </row>
    <row r="458" spans="15:15" ht="12.75">
      <c r="O458" s="2"/>
    </row>
    <row r="459" spans="15:15" ht="12.75">
      <c r="O459" s="2"/>
    </row>
    <row r="460" spans="15:15" ht="12.75">
      <c r="O460" s="2"/>
    </row>
    <row r="461" spans="15:15" ht="12.75">
      <c r="O461" s="2"/>
    </row>
    <row r="462" spans="15:15" ht="12.75">
      <c r="O462" s="2"/>
    </row>
    <row r="463" spans="15:15" ht="12.75">
      <c r="O463" s="2"/>
    </row>
    <row r="464" spans="15:15" ht="12.75">
      <c r="O464" s="2"/>
    </row>
    <row r="465" spans="15:15" ht="12.75">
      <c r="O465" s="2"/>
    </row>
    <row r="466" spans="15:15" ht="12.75">
      <c r="O466" s="2"/>
    </row>
    <row r="467" spans="15:15" ht="12.75">
      <c r="O467" s="2"/>
    </row>
    <row r="468" spans="15:15" ht="12.75">
      <c r="O468" s="2"/>
    </row>
    <row r="469" spans="15:15" ht="12.75">
      <c r="O469" s="2"/>
    </row>
    <row r="470" spans="15:15" ht="12.75">
      <c r="O470" s="2"/>
    </row>
    <row r="471" spans="15:15" ht="12.75">
      <c r="O471" s="2"/>
    </row>
    <row r="472" spans="15:15" ht="12.75">
      <c r="O472" s="2"/>
    </row>
    <row r="473" spans="15:15" ht="12.75">
      <c r="O473" s="2"/>
    </row>
    <row r="474" spans="15:15" ht="12.75">
      <c r="O474" s="2"/>
    </row>
    <row r="475" spans="15:15" ht="12.75">
      <c r="O475" s="2"/>
    </row>
    <row r="476" spans="15:15" ht="12.75">
      <c r="O476" s="2"/>
    </row>
    <row r="477" spans="15:15" ht="12.75">
      <c r="O477" s="2"/>
    </row>
    <row r="478" spans="15:15" ht="12.75">
      <c r="O478" s="2"/>
    </row>
    <row r="479" spans="15:15" ht="12.75">
      <c r="O479" s="2"/>
    </row>
    <row r="480" spans="15:15" ht="12.75">
      <c r="O480" s="2"/>
    </row>
    <row r="481" spans="15:15" ht="12.75">
      <c r="O481" s="2"/>
    </row>
    <row r="482" spans="15:15" ht="12.75">
      <c r="O482" s="2"/>
    </row>
    <row r="483" spans="15:15" ht="12.75">
      <c r="O483" s="2"/>
    </row>
    <row r="484" spans="15:15" ht="12.75">
      <c r="O484" s="2"/>
    </row>
    <row r="485" spans="15:15" ht="12.75">
      <c r="O485" s="2"/>
    </row>
    <row r="486" spans="15:15" ht="12.75">
      <c r="O486" s="2"/>
    </row>
    <row r="487" spans="15:15" ht="12.75">
      <c r="O487" s="2"/>
    </row>
    <row r="488" spans="15:15" ht="12.75">
      <c r="O488" s="2"/>
    </row>
    <row r="489" spans="15:15" ht="12.75">
      <c r="O489" s="2"/>
    </row>
    <row r="490" spans="15:15" ht="12.75">
      <c r="O490" s="2"/>
    </row>
    <row r="491" spans="15:15" ht="12.75">
      <c r="O491" s="2"/>
    </row>
    <row r="492" spans="15:15" ht="12.75">
      <c r="O492" s="2"/>
    </row>
    <row r="493" spans="15:15" ht="12.75">
      <c r="O493" s="2"/>
    </row>
    <row r="494" spans="15:15" ht="12.75">
      <c r="O494" s="2"/>
    </row>
    <row r="495" spans="15:15" ht="12.75">
      <c r="O495" s="2"/>
    </row>
    <row r="496" spans="15:15" ht="12.75">
      <c r="O496" s="2"/>
    </row>
    <row r="497" spans="15:15" ht="12.75">
      <c r="O497" s="2"/>
    </row>
    <row r="498" spans="15:15" ht="12.75">
      <c r="O498" s="2"/>
    </row>
    <row r="499" spans="15:15" ht="12.75">
      <c r="O499" s="2"/>
    </row>
    <row r="500" spans="15:15" ht="12.75">
      <c r="O500" s="2"/>
    </row>
    <row r="501" spans="15:15" ht="12.75">
      <c r="O501" s="2"/>
    </row>
    <row r="502" spans="15:15" ht="12.75">
      <c r="O502" s="2"/>
    </row>
    <row r="503" spans="15:15" ht="12.75">
      <c r="O503" s="2"/>
    </row>
    <row r="504" spans="15:15" ht="12.75">
      <c r="O504" s="2"/>
    </row>
    <row r="505" spans="15:15" ht="12.75">
      <c r="O505" s="2"/>
    </row>
    <row r="506" spans="15:15" ht="12.75">
      <c r="O506" s="2"/>
    </row>
    <row r="507" spans="15:15" ht="12.75">
      <c r="O507" s="2"/>
    </row>
    <row r="508" spans="15:15" ht="12.75">
      <c r="O508" s="2"/>
    </row>
    <row r="509" spans="15:15" ht="12.75">
      <c r="O509" s="2"/>
    </row>
    <row r="510" spans="15:15" ht="12.75">
      <c r="O510" s="2"/>
    </row>
    <row r="511" spans="15:15" ht="12.75">
      <c r="O511" s="2"/>
    </row>
    <row r="512" spans="15:15" ht="12.75">
      <c r="O512" s="2"/>
    </row>
    <row r="513" spans="15:15" ht="12.75">
      <c r="O513" s="2"/>
    </row>
    <row r="514" spans="15:15" ht="12.75">
      <c r="O514" s="2"/>
    </row>
    <row r="515" spans="15:15" ht="12.75">
      <c r="O515" s="2"/>
    </row>
    <row r="516" spans="15:15" ht="12.75">
      <c r="O516" s="2"/>
    </row>
    <row r="517" spans="15:15" ht="12.75">
      <c r="O517" s="2"/>
    </row>
    <row r="518" spans="15:15" ht="12.75">
      <c r="O518" s="2"/>
    </row>
    <row r="519" spans="15:15" ht="12.75">
      <c r="O519" s="2"/>
    </row>
    <row r="520" spans="15:15" ht="12.75">
      <c r="O520" s="2"/>
    </row>
    <row r="521" spans="15:15" ht="12.75">
      <c r="O521" s="2"/>
    </row>
    <row r="522" spans="15:15" ht="12.75">
      <c r="O522" s="2"/>
    </row>
    <row r="523" spans="15:15" ht="12.75">
      <c r="O523" s="2"/>
    </row>
    <row r="524" spans="15:15" ht="12.75">
      <c r="O524" s="2"/>
    </row>
    <row r="525" spans="15:15" ht="12.75">
      <c r="O525" s="2"/>
    </row>
    <row r="526" spans="15:15" ht="12.75">
      <c r="O526" s="2"/>
    </row>
    <row r="527" spans="15:15" ht="12.75">
      <c r="O527" s="2"/>
    </row>
    <row r="528" spans="15:15" ht="12.75">
      <c r="O528" s="2"/>
    </row>
    <row r="529" spans="15:15" ht="12.75">
      <c r="O529" s="2"/>
    </row>
    <row r="530" spans="15:15" ht="12.75">
      <c r="O530" s="2"/>
    </row>
    <row r="531" spans="15:15" ht="12.75">
      <c r="O531" s="2"/>
    </row>
    <row r="532" spans="15:15" ht="12.75">
      <c r="O532" s="2"/>
    </row>
    <row r="533" spans="15:15" ht="12.75">
      <c r="O533" s="2"/>
    </row>
    <row r="534" spans="15:15" ht="12.75">
      <c r="O534" s="2"/>
    </row>
    <row r="535" spans="15:15" ht="12.75">
      <c r="O535" s="2"/>
    </row>
    <row r="536" spans="15:15" ht="12.75">
      <c r="O536" s="2"/>
    </row>
    <row r="537" spans="15:15" ht="12.75">
      <c r="O537" s="2"/>
    </row>
    <row r="538" spans="15:15" ht="12.75">
      <c r="O538" s="2"/>
    </row>
    <row r="539" spans="15:15" ht="12.75">
      <c r="O539" s="2"/>
    </row>
    <row r="540" spans="15:15" ht="12.75">
      <c r="O540" s="2"/>
    </row>
    <row r="541" spans="15:15" ht="12.75">
      <c r="O541" s="2"/>
    </row>
    <row r="542" spans="15:15" ht="12.75">
      <c r="O542" s="2"/>
    </row>
    <row r="543" spans="15:15" ht="12.75">
      <c r="O543" s="2"/>
    </row>
    <row r="544" spans="15:15" ht="12.75">
      <c r="O544" s="2"/>
    </row>
    <row r="545" spans="15:15" ht="12.75">
      <c r="O545" s="2"/>
    </row>
    <row r="546" spans="15:15" ht="12.75">
      <c r="O546" s="2"/>
    </row>
    <row r="547" spans="15:15" ht="12.75">
      <c r="O547" s="2"/>
    </row>
    <row r="548" spans="15:15" ht="12.75">
      <c r="O548" s="2"/>
    </row>
    <row r="549" spans="15:15" ht="12.75">
      <c r="O549" s="2"/>
    </row>
    <row r="550" spans="15:15" ht="12.75">
      <c r="O550" s="2"/>
    </row>
    <row r="551" spans="15:15" ht="12.75">
      <c r="O551" s="2"/>
    </row>
    <row r="552" spans="15:15" ht="12.75">
      <c r="O552" s="2"/>
    </row>
    <row r="553" spans="15:15" ht="12.75">
      <c r="O553" s="2"/>
    </row>
    <row r="554" spans="15:15" ht="12.75">
      <c r="O554" s="2"/>
    </row>
    <row r="555" spans="15:15" ht="12.75">
      <c r="O555" s="2"/>
    </row>
    <row r="556" spans="15:15" ht="12.75">
      <c r="O556" s="2"/>
    </row>
    <row r="557" spans="15:15" ht="12.75">
      <c r="O557" s="2"/>
    </row>
    <row r="558" spans="15:15" ht="12.75">
      <c r="O558" s="2"/>
    </row>
    <row r="559" spans="15:15" ht="12.75">
      <c r="O559" s="2"/>
    </row>
    <row r="560" spans="15:15" ht="12.75">
      <c r="O560" s="2"/>
    </row>
    <row r="561" spans="15:15" ht="12.75">
      <c r="O561" s="2"/>
    </row>
    <row r="562" spans="15:15" ht="12.75">
      <c r="O562" s="2"/>
    </row>
    <row r="563" spans="15:15" ht="12.75">
      <c r="O563" s="2"/>
    </row>
    <row r="564" spans="15:15" ht="12.75">
      <c r="O564" s="2"/>
    </row>
    <row r="565" spans="15:15" ht="12.75">
      <c r="O565" s="2"/>
    </row>
    <row r="566" spans="15:15" ht="12.75">
      <c r="O566" s="2"/>
    </row>
    <row r="567" spans="15:15" ht="12.75">
      <c r="O567" s="2"/>
    </row>
    <row r="568" spans="15:15" ht="12.75">
      <c r="O568" s="2"/>
    </row>
    <row r="569" spans="15:15" ht="12.75">
      <c r="O569" s="2"/>
    </row>
    <row r="570" spans="15:15" ht="12.75">
      <c r="O570" s="2"/>
    </row>
    <row r="571" spans="15:15" ht="12.75">
      <c r="O571" s="2"/>
    </row>
    <row r="572" spans="15:15" ht="12.75">
      <c r="O572" s="2"/>
    </row>
    <row r="573" spans="15:15" ht="12.75">
      <c r="O573" s="2"/>
    </row>
    <row r="574" spans="15:15" ht="12.75">
      <c r="O574" s="2"/>
    </row>
    <row r="575" spans="15:15" ht="12.75">
      <c r="O575" s="2"/>
    </row>
    <row r="576" spans="15:15" ht="12.75">
      <c r="O576" s="2"/>
    </row>
    <row r="577" spans="15:15" ht="12.75">
      <c r="O577" s="2"/>
    </row>
    <row r="578" spans="15:15" ht="12.75">
      <c r="O578" s="2"/>
    </row>
    <row r="579" spans="15:15" ht="12.75">
      <c r="O579" s="2"/>
    </row>
    <row r="580" spans="15:15" ht="12.75">
      <c r="O580" s="2"/>
    </row>
    <row r="581" spans="15:15" ht="12.75">
      <c r="O581" s="2"/>
    </row>
    <row r="582" spans="15:15" ht="12.75">
      <c r="O582" s="2"/>
    </row>
    <row r="583" spans="15:15" ht="12.75">
      <c r="O583" s="2"/>
    </row>
    <row r="584" spans="15:15" ht="12.75">
      <c r="O584" s="2"/>
    </row>
    <row r="585" spans="15:15" ht="12.75">
      <c r="O585" s="2"/>
    </row>
    <row r="586" spans="15:15" ht="12.75">
      <c r="O586" s="2"/>
    </row>
    <row r="587" spans="15:15" ht="12.75">
      <c r="O587" s="2"/>
    </row>
    <row r="588" spans="15:15" ht="12.75">
      <c r="O588" s="2"/>
    </row>
    <row r="589" spans="15:15" ht="12.75">
      <c r="O589" s="2"/>
    </row>
    <row r="590" spans="15:15" ht="12.75">
      <c r="O590" s="2"/>
    </row>
    <row r="591" spans="15:15" ht="12.75">
      <c r="O591" s="2"/>
    </row>
    <row r="592" spans="15:15" ht="12.75">
      <c r="O592" s="2"/>
    </row>
    <row r="593" spans="15:15" ht="12.75">
      <c r="O593" s="2"/>
    </row>
    <row r="594" spans="15:15" ht="12.75">
      <c r="O594" s="2"/>
    </row>
    <row r="595" spans="15:15" ht="12.75">
      <c r="O595" s="2"/>
    </row>
    <row r="596" spans="15:15" ht="12.75">
      <c r="O596" s="2"/>
    </row>
    <row r="597" spans="15:15" ht="12.75">
      <c r="O597" s="2"/>
    </row>
    <row r="598" spans="15:15" ht="12.75">
      <c r="O598" s="2"/>
    </row>
    <row r="599" spans="15:15" ht="12.75">
      <c r="O599" s="2"/>
    </row>
    <row r="600" spans="15:15" ht="12.75">
      <c r="O600" s="2"/>
    </row>
    <row r="601" spans="15:15" ht="12.75">
      <c r="O601" s="2"/>
    </row>
    <row r="602" spans="15:15" ht="12.75">
      <c r="O602" s="2"/>
    </row>
    <row r="603" spans="15:15" ht="12.75">
      <c r="O603" s="2"/>
    </row>
    <row r="604" spans="15:15" ht="12.75">
      <c r="O604" s="2"/>
    </row>
    <row r="605" spans="15:15" ht="12.75">
      <c r="O605" s="2"/>
    </row>
    <row r="606" spans="15:15" ht="12.75">
      <c r="O606" s="2"/>
    </row>
    <row r="607" spans="15:15" ht="12.75">
      <c r="O607" s="2"/>
    </row>
    <row r="608" spans="15:15" ht="12.75">
      <c r="O608" s="2"/>
    </row>
    <row r="609" spans="15:15" ht="12.75">
      <c r="O609" s="2"/>
    </row>
    <row r="610" spans="15:15" ht="12.75">
      <c r="O610" s="2"/>
    </row>
    <row r="611" spans="15:15" ht="12.75">
      <c r="O611" s="2"/>
    </row>
    <row r="612" spans="15:15" ht="12.75">
      <c r="O612" s="2"/>
    </row>
    <row r="613" spans="15:15" ht="12.75">
      <c r="O613" s="2"/>
    </row>
    <row r="614" spans="15:15" ht="12.75">
      <c r="O614" s="2"/>
    </row>
    <row r="615" spans="15:15" ht="12.75">
      <c r="O615" s="2"/>
    </row>
    <row r="616" spans="15:15" ht="12.75">
      <c r="O616" s="2"/>
    </row>
    <row r="617" spans="15:15" ht="12.75">
      <c r="O617" s="2"/>
    </row>
    <row r="618" spans="15:15" ht="12.75">
      <c r="O618" s="2"/>
    </row>
    <row r="619" spans="15:15" ht="12.75">
      <c r="O619" s="2"/>
    </row>
    <row r="620" spans="15:15" ht="12.75">
      <c r="O620" s="2"/>
    </row>
    <row r="621" spans="15:15" ht="12.75">
      <c r="O621" s="2"/>
    </row>
    <row r="622" spans="15:15" ht="12.75">
      <c r="O622" s="2"/>
    </row>
    <row r="623" spans="15:15" ht="12.75">
      <c r="O623" s="2"/>
    </row>
    <row r="624" spans="15:15" ht="12.75">
      <c r="O624" s="2"/>
    </row>
    <row r="625" spans="15:15" ht="12.75">
      <c r="O625" s="2"/>
    </row>
    <row r="626" spans="15:15" ht="12.75">
      <c r="O626" s="2"/>
    </row>
    <row r="627" spans="15:15" ht="12.75">
      <c r="O627" s="2"/>
    </row>
    <row r="628" spans="15:15" ht="12.75">
      <c r="O628" s="2"/>
    </row>
    <row r="629" spans="15:15" ht="12.75">
      <c r="O629" s="2"/>
    </row>
    <row r="630" spans="15:15" ht="12.75">
      <c r="O630" s="2"/>
    </row>
    <row r="631" spans="15:15" ht="12.75">
      <c r="O631" s="2"/>
    </row>
    <row r="632" spans="15:15" ht="12.75">
      <c r="O632" s="2"/>
    </row>
    <row r="633" spans="15:15" ht="12.75">
      <c r="O633" s="2"/>
    </row>
    <row r="634" spans="15:15" ht="12.75">
      <c r="O634" s="2"/>
    </row>
    <row r="635" spans="15:15" ht="12.75">
      <c r="O635" s="2"/>
    </row>
    <row r="636" spans="15:15" ht="12.75">
      <c r="O636" s="2"/>
    </row>
    <row r="637" spans="15:15" ht="12.75">
      <c r="O637" s="2"/>
    </row>
    <row r="638" spans="15:15" ht="12.75">
      <c r="O638" s="2"/>
    </row>
    <row r="639" spans="15:15" ht="12.75">
      <c r="O639" s="2"/>
    </row>
    <row r="640" spans="15:15" ht="12.75">
      <c r="O640" s="2"/>
    </row>
    <row r="641" spans="15:15" ht="12.75">
      <c r="O641" s="2"/>
    </row>
    <row r="642" spans="15:15" ht="12.75">
      <c r="O642" s="2"/>
    </row>
    <row r="643" spans="15:15" ht="12.75">
      <c r="O643" s="2"/>
    </row>
    <row r="644" spans="15:15" ht="12.75">
      <c r="O644" s="2"/>
    </row>
    <row r="645" spans="15:15" ht="12.75">
      <c r="O645" s="2"/>
    </row>
    <row r="646" spans="15:15" ht="12.75">
      <c r="O646" s="2"/>
    </row>
    <row r="647" spans="15:15" ht="12.75">
      <c r="O647" s="2"/>
    </row>
    <row r="648" spans="15:15" ht="12.75">
      <c r="O648" s="2"/>
    </row>
    <row r="649" spans="15:15" ht="12.75">
      <c r="O649" s="2"/>
    </row>
    <row r="650" spans="15:15" ht="12.75">
      <c r="O650" s="2"/>
    </row>
    <row r="651" spans="15:15" ht="12.75">
      <c r="O651" s="2"/>
    </row>
    <row r="652" spans="15:15" ht="12.75">
      <c r="O652" s="2"/>
    </row>
    <row r="653" spans="15:15" ht="12.75">
      <c r="O653" s="2"/>
    </row>
    <row r="654" spans="15:15" ht="12.75">
      <c r="O654" s="2"/>
    </row>
    <row r="655" spans="15:15" ht="12.75">
      <c r="O655" s="2"/>
    </row>
    <row r="656" spans="15:15" ht="12.75">
      <c r="O656" s="2"/>
    </row>
    <row r="657" spans="15:15" ht="12.75">
      <c r="O657" s="2"/>
    </row>
    <row r="658" spans="15:15" ht="12.75">
      <c r="O658" s="2"/>
    </row>
    <row r="659" spans="15:15" ht="12.75">
      <c r="O659" s="2"/>
    </row>
    <row r="660" spans="15:15" ht="12.75">
      <c r="O660" s="2"/>
    </row>
    <row r="661" spans="15:15" ht="12.75">
      <c r="O661" s="2"/>
    </row>
    <row r="662" spans="15:15" ht="12.75">
      <c r="O662" s="2"/>
    </row>
    <row r="663" spans="15:15" ht="12.75">
      <c r="O663" s="2"/>
    </row>
    <row r="664" spans="15:15" ht="12.75">
      <c r="O664" s="2"/>
    </row>
    <row r="665" spans="15:15" ht="12.75">
      <c r="O665" s="2"/>
    </row>
    <row r="666" spans="15:15" ht="12.75">
      <c r="O666" s="2"/>
    </row>
    <row r="667" spans="15:15" ht="12.75">
      <c r="O667" s="2"/>
    </row>
    <row r="668" spans="15:15" ht="12.75">
      <c r="O668" s="2"/>
    </row>
    <row r="669" spans="15:15" ht="12.75">
      <c r="O669" s="2"/>
    </row>
    <row r="670" spans="15:15" ht="12.75">
      <c r="O670" s="2"/>
    </row>
    <row r="671" spans="15:15" ht="12.75">
      <c r="O671" s="2"/>
    </row>
    <row r="672" spans="15:15" ht="12.75">
      <c r="O672" s="2"/>
    </row>
    <row r="673" spans="15:15" ht="12.75">
      <c r="O673" s="2"/>
    </row>
    <row r="674" spans="15:15" ht="12.75">
      <c r="O674" s="2"/>
    </row>
    <row r="675" spans="15:15" ht="12.75">
      <c r="O675" s="2"/>
    </row>
    <row r="676" spans="15:15" ht="12.75">
      <c r="O676" s="2"/>
    </row>
    <row r="677" spans="15:15" ht="12.75">
      <c r="O677" s="2"/>
    </row>
    <row r="678" spans="15:15" ht="12.75">
      <c r="O678" s="2"/>
    </row>
    <row r="679" spans="15:15" ht="12.75">
      <c r="O679" s="2"/>
    </row>
    <row r="680" spans="15:15" ht="12.75">
      <c r="O680" s="2"/>
    </row>
    <row r="681" spans="15:15" ht="12.75">
      <c r="O681" s="2"/>
    </row>
    <row r="682" spans="15:15" ht="12.75">
      <c r="O682" s="2"/>
    </row>
    <row r="683" spans="15:15" ht="12.75">
      <c r="O683" s="2"/>
    </row>
    <row r="684" spans="15:15" ht="12.75">
      <c r="O684" s="2"/>
    </row>
    <row r="685" spans="15:15" ht="12.75">
      <c r="O685" s="2"/>
    </row>
    <row r="686" spans="15:15" ht="12.75">
      <c r="O686" s="2"/>
    </row>
    <row r="687" spans="15:15" ht="12.75">
      <c r="O687" s="2"/>
    </row>
    <row r="688" spans="15:15" ht="12.75">
      <c r="O688" s="2"/>
    </row>
    <row r="689" spans="15:15" ht="12.75">
      <c r="O689" s="2"/>
    </row>
    <row r="690" spans="15:15" ht="12.75">
      <c r="O690" s="2"/>
    </row>
    <row r="691" spans="15:15" ht="12.75">
      <c r="O691" s="2"/>
    </row>
    <row r="692" spans="15:15" ht="12.75">
      <c r="O692" s="2"/>
    </row>
    <row r="693" spans="15:15" ht="12.75">
      <c r="O693" s="2"/>
    </row>
    <row r="694" spans="15:15" ht="12.75">
      <c r="O694" s="2"/>
    </row>
    <row r="695" spans="15:15" ht="12.75">
      <c r="O695" s="2"/>
    </row>
    <row r="696" spans="15:15" ht="12.75">
      <c r="O696" s="2"/>
    </row>
    <row r="697" spans="15:15" ht="12.75">
      <c r="O697" s="2"/>
    </row>
    <row r="698" spans="15:15" ht="12.75">
      <c r="O698" s="2"/>
    </row>
    <row r="699" spans="15:15" ht="12.75">
      <c r="O699" s="2"/>
    </row>
    <row r="700" spans="15:15" ht="12.75">
      <c r="O700" s="2"/>
    </row>
    <row r="701" spans="15:15" ht="12.75">
      <c r="O701" s="2"/>
    </row>
    <row r="702" spans="15:15" ht="12.75">
      <c r="O702" s="2"/>
    </row>
    <row r="703" spans="15:15" ht="12.75">
      <c r="O703" s="2"/>
    </row>
    <row r="704" spans="15:15" ht="12.75">
      <c r="O704" s="2"/>
    </row>
    <row r="705" spans="15:15" ht="12.75">
      <c r="O705" s="2"/>
    </row>
    <row r="706" spans="15:15" ht="12.75">
      <c r="O706" s="2"/>
    </row>
    <row r="707" spans="15:15" ht="12.75">
      <c r="O707" s="2"/>
    </row>
    <row r="708" spans="15:15" ht="12.75">
      <c r="O708" s="2"/>
    </row>
    <row r="709" spans="15:15" ht="12.75">
      <c r="O709" s="2"/>
    </row>
    <row r="710" spans="15:15" ht="12.75">
      <c r="O710" s="2"/>
    </row>
    <row r="711" spans="15:15" ht="12.75">
      <c r="O711" s="2"/>
    </row>
    <row r="712" spans="15:15" ht="12.75">
      <c r="O712" s="2"/>
    </row>
    <row r="713" spans="15:15" ht="12.75">
      <c r="O713" s="2"/>
    </row>
    <row r="714" spans="15:15" ht="12.75">
      <c r="O714" s="2"/>
    </row>
    <row r="715" spans="15:15" ht="12.75">
      <c r="O715" s="2"/>
    </row>
    <row r="716" spans="15:15" ht="12.75">
      <c r="O716" s="2"/>
    </row>
    <row r="717" spans="15:15" ht="12.75">
      <c r="O717" s="2"/>
    </row>
    <row r="718" spans="15:15" ht="12.75">
      <c r="O718" s="2"/>
    </row>
    <row r="719" spans="15:15" ht="12.75">
      <c r="O719" s="2"/>
    </row>
    <row r="720" spans="15:15" ht="12.75">
      <c r="O720" s="2"/>
    </row>
    <row r="721" spans="15:15" ht="12.75">
      <c r="O721" s="2"/>
    </row>
    <row r="722" spans="15:15" ht="12.75">
      <c r="O722" s="2"/>
    </row>
    <row r="723" spans="15:15" ht="12.75">
      <c r="O723" s="2"/>
    </row>
    <row r="724" spans="15:15" ht="12.75">
      <c r="O724" s="2"/>
    </row>
    <row r="725" spans="15:15" ht="12.75">
      <c r="O725" s="2"/>
    </row>
    <row r="726" spans="15:15" ht="12.75">
      <c r="O726" s="2"/>
    </row>
    <row r="727" spans="15:15" ht="12.75">
      <c r="O727" s="2"/>
    </row>
    <row r="728" spans="15:15" ht="12.75">
      <c r="O728" s="2"/>
    </row>
    <row r="729" spans="15:15" ht="12.75">
      <c r="O729" s="2"/>
    </row>
    <row r="730" spans="15:15" ht="12.75">
      <c r="O730" s="2"/>
    </row>
    <row r="731" spans="15:15" ht="12.75">
      <c r="O731" s="2"/>
    </row>
    <row r="732" spans="15:15" ht="12.75">
      <c r="O732" s="2"/>
    </row>
    <row r="733" spans="15:15" ht="12.75">
      <c r="O733" s="2"/>
    </row>
    <row r="734" spans="15:15" ht="12.75">
      <c r="O734" s="2"/>
    </row>
    <row r="735" spans="15:15" ht="12.75">
      <c r="O735" s="2"/>
    </row>
    <row r="736" spans="15:15" ht="12.75">
      <c r="O736" s="2"/>
    </row>
    <row r="737" spans="15:15" ht="12.75">
      <c r="O737" s="2"/>
    </row>
    <row r="738" spans="15:15" ht="12.75">
      <c r="O738" s="2"/>
    </row>
    <row r="739" spans="15:15" ht="12.75">
      <c r="O739" s="2"/>
    </row>
    <row r="740" spans="15:15" ht="12.75">
      <c r="O740" s="2"/>
    </row>
    <row r="741" spans="15:15" ht="12.75">
      <c r="O741" s="2"/>
    </row>
    <row r="742" spans="15:15" ht="12.75">
      <c r="O742" s="2"/>
    </row>
    <row r="743" spans="15:15" ht="12.75">
      <c r="O743" s="2"/>
    </row>
    <row r="744" spans="15:15" ht="12.75">
      <c r="O744" s="2"/>
    </row>
    <row r="745" spans="15:15" ht="12.75">
      <c r="O745" s="2"/>
    </row>
    <row r="746" spans="15:15" ht="12.75">
      <c r="O746" s="2"/>
    </row>
    <row r="747" spans="15:15" ht="12.75">
      <c r="O747" s="2"/>
    </row>
    <row r="748" spans="15:15" ht="12.75">
      <c r="O748" s="2"/>
    </row>
    <row r="749" spans="15:15" ht="12.75">
      <c r="O749" s="2"/>
    </row>
    <row r="750" spans="15:15" ht="12.75">
      <c r="O750" s="2"/>
    </row>
    <row r="751" spans="15:15" ht="12.75">
      <c r="O751" s="2"/>
    </row>
    <row r="752" spans="15:15" ht="12.75">
      <c r="O752" s="2"/>
    </row>
    <row r="753" spans="15:15" ht="12.75">
      <c r="O753" s="2"/>
    </row>
    <row r="754" spans="15:15" ht="12.75">
      <c r="O754" s="2"/>
    </row>
    <row r="755" spans="15:15" ht="12.75">
      <c r="O755" s="2"/>
    </row>
    <row r="756" spans="15:15" ht="12.75">
      <c r="O756" s="2"/>
    </row>
    <row r="757" spans="15:15" ht="12.75">
      <c r="O757" s="2"/>
    </row>
    <row r="758" spans="15:15" ht="12.75">
      <c r="O758" s="2"/>
    </row>
    <row r="759" spans="15:15" ht="12.75">
      <c r="O759" s="2"/>
    </row>
    <row r="760" spans="15:15" ht="12.75">
      <c r="O760" s="2"/>
    </row>
    <row r="761" spans="15:15" ht="12.75">
      <c r="O761" s="2"/>
    </row>
    <row r="762" spans="15:15" ht="12.75">
      <c r="O762" s="2"/>
    </row>
    <row r="763" spans="15:15" ht="12.75">
      <c r="O763" s="2"/>
    </row>
    <row r="764" spans="15:15" ht="12.75">
      <c r="O764" s="2"/>
    </row>
    <row r="765" spans="15:15" ht="12.75">
      <c r="O765" s="2"/>
    </row>
    <row r="766" spans="15:15" ht="12.75">
      <c r="O766" s="2"/>
    </row>
    <row r="767" spans="15:15" ht="12.75">
      <c r="O767" s="2"/>
    </row>
    <row r="768" spans="15:15" ht="12.75">
      <c r="O768" s="2"/>
    </row>
    <row r="769" spans="15:15" ht="12.75">
      <c r="O769" s="2"/>
    </row>
    <row r="770" spans="15:15" ht="12.75">
      <c r="O770" s="2"/>
    </row>
    <row r="771" spans="15:15" ht="12.75">
      <c r="O771" s="2"/>
    </row>
    <row r="772" spans="15:15" ht="12.75">
      <c r="O772" s="2"/>
    </row>
    <row r="773" spans="15:15" ht="12.75">
      <c r="O773" s="2"/>
    </row>
    <row r="774" spans="15:15" ht="12.75">
      <c r="O774" s="2"/>
    </row>
    <row r="775" spans="15:15" ht="12.75">
      <c r="O775" s="2"/>
    </row>
    <row r="776" spans="15:15" ht="12.75">
      <c r="O776" s="2"/>
    </row>
    <row r="777" spans="15:15" ht="12.75">
      <c r="O777" s="2"/>
    </row>
    <row r="778" spans="15:15" ht="12.75">
      <c r="O778" s="2"/>
    </row>
    <row r="779" spans="15:15" ht="12.75">
      <c r="O779" s="2"/>
    </row>
    <row r="780" spans="15:15" ht="12.75">
      <c r="O780" s="2"/>
    </row>
    <row r="781" spans="15:15" ht="12.75">
      <c r="O781" s="2"/>
    </row>
    <row r="782" spans="15:15" ht="12.75">
      <c r="O782" s="2"/>
    </row>
    <row r="783" spans="15:15" ht="12.75">
      <c r="O783" s="2"/>
    </row>
    <row r="784" spans="15:15" ht="12.75">
      <c r="O784" s="2"/>
    </row>
    <row r="785" spans="15:15" ht="12.75">
      <c r="O785" s="2"/>
    </row>
    <row r="786" spans="15:15" ht="12.75">
      <c r="O786" s="2"/>
    </row>
    <row r="787" spans="15:15" ht="12.75">
      <c r="O787" s="2"/>
    </row>
    <row r="788" spans="15:15" ht="12.75">
      <c r="O788" s="2"/>
    </row>
    <row r="789" spans="15:15" ht="12.75">
      <c r="O789" s="2"/>
    </row>
    <row r="790" spans="15:15" ht="12.75">
      <c r="O790" s="2"/>
    </row>
    <row r="791" spans="15:15" ht="12.75">
      <c r="O791" s="2"/>
    </row>
    <row r="792" spans="15:15" ht="12.75">
      <c r="O792" s="2"/>
    </row>
    <row r="793" spans="15:15" ht="12.75">
      <c r="O793" s="2"/>
    </row>
    <row r="794" spans="15:15" ht="12.75">
      <c r="O794" s="2"/>
    </row>
    <row r="795" spans="15:15" ht="12.75">
      <c r="O795" s="2"/>
    </row>
    <row r="796" spans="15:15" ht="12.75">
      <c r="O796" s="2"/>
    </row>
    <row r="797" spans="15:15" ht="12.75">
      <c r="O797" s="2"/>
    </row>
    <row r="798" spans="15:15" ht="12.75">
      <c r="O798" s="2"/>
    </row>
    <row r="799" spans="15:15" ht="12.75">
      <c r="O799" s="2"/>
    </row>
    <row r="800" spans="15:15" ht="12.75">
      <c r="O800" s="2"/>
    </row>
    <row r="801" spans="15:15" ht="12.75">
      <c r="O801" s="2"/>
    </row>
    <row r="802" spans="15:15" ht="12.75">
      <c r="O802" s="2"/>
    </row>
    <row r="803" spans="15:15" ht="12.75">
      <c r="O803" s="2"/>
    </row>
    <row r="804" spans="15:15" ht="12.75">
      <c r="O804" s="2"/>
    </row>
    <row r="805" spans="15:15" ht="12.75">
      <c r="O805" s="2"/>
    </row>
    <row r="806" spans="15:15" ht="12.75">
      <c r="O806" s="2"/>
    </row>
    <row r="807" spans="15:15" ht="12.75">
      <c r="O807" s="2"/>
    </row>
    <row r="808" spans="15:15" ht="12.75">
      <c r="O808" s="2"/>
    </row>
    <row r="809" spans="15:15" ht="12.75">
      <c r="O809" s="2"/>
    </row>
    <row r="810" spans="15:15" ht="12.75">
      <c r="O810" s="2"/>
    </row>
    <row r="811" spans="15:15" ht="12.75">
      <c r="O811" s="2"/>
    </row>
    <row r="812" spans="15:15" ht="12.75">
      <c r="O812" s="2"/>
    </row>
    <row r="813" spans="15:15" ht="12.75">
      <c r="O813" s="2"/>
    </row>
    <row r="814" spans="15:15" ht="12.75">
      <c r="O814" s="2"/>
    </row>
    <row r="815" spans="15:15" ht="12.75">
      <c r="O815" s="2"/>
    </row>
    <row r="816" spans="15:15" ht="12.75">
      <c r="O816" s="2"/>
    </row>
    <row r="817" spans="15:15" ht="12.75">
      <c r="O817" s="2"/>
    </row>
    <row r="818" spans="15:15" ht="12.75">
      <c r="O818" s="2"/>
    </row>
    <row r="819" spans="15:15" ht="12.75">
      <c r="O819" s="2"/>
    </row>
    <row r="820" spans="15:15" ht="12.75">
      <c r="O820" s="2"/>
    </row>
    <row r="821" spans="15:15" ht="12.75">
      <c r="O821" s="2"/>
    </row>
    <row r="822" spans="15:15" ht="12.75">
      <c r="O822" s="2"/>
    </row>
    <row r="823" spans="15:15" ht="12.75">
      <c r="O823" s="2"/>
    </row>
    <row r="824" spans="15:15" ht="12.75">
      <c r="O824" s="2"/>
    </row>
    <row r="825" spans="15:15" ht="12.75">
      <c r="O825" s="2"/>
    </row>
    <row r="826" spans="15:15" ht="12.75">
      <c r="O826" s="2"/>
    </row>
    <row r="827" spans="15:15" ht="12.75">
      <c r="O827" s="2"/>
    </row>
    <row r="828" spans="15:15" ht="12.75">
      <c r="O828" s="2"/>
    </row>
    <row r="829" spans="15:15" ht="12.75">
      <c r="O829" s="2"/>
    </row>
    <row r="830" spans="15:15" ht="12.75">
      <c r="O830" s="2"/>
    </row>
    <row r="831" spans="15:15" ht="12.75">
      <c r="O831" s="2"/>
    </row>
    <row r="832" spans="15:15" ht="12.75">
      <c r="O832" s="2"/>
    </row>
    <row r="833" spans="15:15" ht="12.75">
      <c r="O833" s="2"/>
    </row>
    <row r="834" spans="15:15" ht="12.75">
      <c r="O834" s="2"/>
    </row>
    <row r="835" spans="15:15" ht="12.75">
      <c r="O835" s="2"/>
    </row>
    <row r="836" spans="15:15" ht="12.75">
      <c r="O836" s="2"/>
    </row>
    <row r="837" spans="15:15" ht="12.75">
      <c r="O837" s="2"/>
    </row>
    <row r="838" spans="15:15" ht="12.75">
      <c r="O838" s="2"/>
    </row>
    <row r="839" spans="15:15" ht="12.75">
      <c r="O839" s="2"/>
    </row>
    <row r="840" spans="15:15" ht="12.75">
      <c r="O840" s="2"/>
    </row>
    <row r="841" spans="15:15" ht="12.75">
      <c r="O841" s="2"/>
    </row>
    <row r="842" spans="15:15" ht="12.75">
      <c r="O842" s="2"/>
    </row>
    <row r="843" spans="15:15" ht="12.75">
      <c r="O843" s="2"/>
    </row>
    <row r="844" spans="15:15" ht="12.75">
      <c r="O844" s="2"/>
    </row>
    <row r="845" spans="15:15" ht="12.75">
      <c r="O845" s="2"/>
    </row>
    <row r="846" spans="15:15" ht="12.75">
      <c r="O846" s="2"/>
    </row>
    <row r="847" spans="15:15" ht="12.75">
      <c r="O847" s="2"/>
    </row>
    <row r="848" spans="15:15" ht="12.75">
      <c r="O848" s="2"/>
    </row>
    <row r="849" spans="15:15" ht="12.75">
      <c r="O849" s="2"/>
    </row>
    <row r="850" spans="15:15" ht="12.75">
      <c r="O850" s="2"/>
    </row>
    <row r="851" spans="15:15" ht="12.75">
      <c r="O851" s="2"/>
    </row>
    <row r="852" spans="15:15" ht="12.75">
      <c r="O852" s="2"/>
    </row>
    <row r="853" spans="15:15" ht="12.75">
      <c r="O853" s="2"/>
    </row>
    <row r="854" spans="15:15" ht="12.75">
      <c r="O854" s="2"/>
    </row>
    <row r="855" spans="15:15" ht="12.75">
      <c r="O855" s="2"/>
    </row>
    <row r="856" spans="15:15" ht="12.75">
      <c r="O856" s="2"/>
    </row>
    <row r="857" spans="15:15" ht="12.75">
      <c r="O857" s="2"/>
    </row>
    <row r="858" spans="15:15" ht="12.75">
      <c r="O858" s="2"/>
    </row>
    <row r="859" spans="15:15" ht="12.75">
      <c r="O859" s="2"/>
    </row>
    <row r="860" spans="15:15" ht="12.75">
      <c r="O860" s="2"/>
    </row>
    <row r="861" spans="15:15" ht="12.75">
      <c r="O861" s="2"/>
    </row>
    <row r="862" spans="15:15" ht="12.75">
      <c r="O862" s="2"/>
    </row>
    <row r="863" spans="15:15" ht="12.75">
      <c r="O863" s="2"/>
    </row>
    <row r="864" spans="15:15" ht="12.75">
      <c r="O864" s="2"/>
    </row>
    <row r="865" spans="15:15" ht="12.75">
      <c r="O865" s="2"/>
    </row>
    <row r="866" spans="15:15" ht="12.75">
      <c r="O866" s="2"/>
    </row>
    <row r="867" spans="15:15" ht="12.75">
      <c r="O867" s="2"/>
    </row>
    <row r="868" spans="15:15" ht="12.75">
      <c r="O868" s="2"/>
    </row>
    <row r="869" spans="15:15" ht="12.75">
      <c r="O869" s="2"/>
    </row>
    <row r="870" spans="15:15" ht="12.75">
      <c r="O870" s="2"/>
    </row>
    <row r="871" spans="15:15" ht="12.75">
      <c r="O871" s="2"/>
    </row>
    <row r="872" spans="15:15" ht="12.75">
      <c r="O872" s="2"/>
    </row>
    <row r="873" spans="15:15" ht="12.75">
      <c r="O873" s="2"/>
    </row>
    <row r="874" spans="15:15" ht="12.75">
      <c r="O874" s="2"/>
    </row>
    <row r="875" spans="15:15" ht="12.75">
      <c r="O875" s="2"/>
    </row>
    <row r="876" spans="15:15" ht="12.75">
      <c r="O876" s="2"/>
    </row>
    <row r="877" spans="15:15" ht="12.75">
      <c r="O877" s="2"/>
    </row>
    <row r="878" spans="15:15" ht="12.75">
      <c r="O878" s="2"/>
    </row>
    <row r="879" spans="15:15" ht="12.75">
      <c r="O879" s="2"/>
    </row>
    <row r="880" spans="15:15" ht="12.75">
      <c r="O880" s="2"/>
    </row>
    <row r="881" spans="15:15" ht="12.75">
      <c r="O881" s="2"/>
    </row>
    <row r="882" spans="15:15" ht="12.75">
      <c r="O882" s="2"/>
    </row>
    <row r="883" spans="15:15" ht="12.75">
      <c r="O883" s="2"/>
    </row>
    <row r="884" spans="15:15" ht="12.75">
      <c r="O884" s="2"/>
    </row>
    <row r="885" spans="15:15" ht="12.75">
      <c r="O885" s="2"/>
    </row>
    <row r="886" spans="15:15" ht="12.75">
      <c r="O886" s="2"/>
    </row>
    <row r="887" spans="15:15" ht="12.75">
      <c r="O887" s="2"/>
    </row>
    <row r="888" spans="15:15" ht="12.75">
      <c r="O888" s="2"/>
    </row>
    <row r="889" spans="15:15" ht="12.75">
      <c r="O889" s="2"/>
    </row>
    <row r="890" spans="15:15" ht="12.75">
      <c r="O890" s="2"/>
    </row>
    <row r="891" spans="15:15" ht="12.75">
      <c r="O891" s="2"/>
    </row>
    <row r="892" spans="15:15" ht="12.75">
      <c r="O892" s="2"/>
    </row>
    <row r="893" spans="15:15" ht="12.75">
      <c r="O893" s="2"/>
    </row>
    <row r="894" spans="15:15" ht="12.75">
      <c r="O894" s="2"/>
    </row>
    <row r="895" spans="15:15" ht="12.75">
      <c r="O895" s="2"/>
    </row>
    <row r="896" spans="15:15" ht="12.75">
      <c r="O896" s="2"/>
    </row>
    <row r="897" spans="15:15" ht="12.75">
      <c r="O897" s="2"/>
    </row>
    <row r="898" spans="15:15" ht="12.75">
      <c r="O898" s="2"/>
    </row>
    <row r="899" spans="15:15" ht="12.75">
      <c r="O899" s="2"/>
    </row>
    <row r="900" spans="15:15" ht="12.75">
      <c r="O900" s="2"/>
    </row>
    <row r="901" spans="15:15" ht="12.75">
      <c r="O901" s="2"/>
    </row>
    <row r="902" spans="15:15" ht="12.75">
      <c r="O902" s="2"/>
    </row>
    <row r="903" spans="15:15" ht="12.75">
      <c r="O903" s="2"/>
    </row>
    <row r="904" spans="15:15" ht="12.75">
      <c r="O904" s="2"/>
    </row>
    <row r="905" spans="15:15" ht="12.75">
      <c r="O905" s="2"/>
    </row>
    <row r="906" spans="15:15" ht="12.75">
      <c r="O906" s="2"/>
    </row>
    <row r="907" spans="15:15" ht="12.75">
      <c r="O907" s="2"/>
    </row>
    <row r="908" spans="15:15" ht="12.75">
      <c r="O908" s="2"/>
    </row>
    <row r="909" spans="15:15" ht="12.75">
      <c r="O909" s="2"/>
    </row>
    <row r="910" spans="15:15" ht="12.75">
      <c r="O910" s="2"/>
    </row>
    <row r="911" spans="15:15" ht="12.75">
      <c r="O911" s="2"/>
    </row>
    <row r="912" spans="15:15" ht="12.75">
      <c r="O912" s="2"/>
    </row>
    <row r="913" spans="15:15" ht="12.75">
      <c r="O913" s="2"/>
    </row>
    <row r="914" spans="15:15" ht="12.75">
      <c r="O914" s="2"/>
    </row>
    <row r="915" spans="15:15" ht="12.75">
      <c r="O915" s="2"/>
    </row>
    <row r="916" spans="15:15" ht="12.75">
      <c r="O916" s="2"/>
    </row>
    <row r="917" spans="15:15" ht="12.75">
      <c r="O917" s="2"/>
    </row>
    <row r="918" spans="15:15" ht="12.75">
      <c r="O918" s="2"/>
    </row>
    <row r="919" spans="15:15" ht="12.75">
      <c r="O919" s="2"/>
    </row>
    <row r="920" spans="15:15" ht="12.75">
      <c r="O920" s="2"/>
    </row>
    <row r="921" spans="15:15" ht="12.75">
      <c r="O921" s="2"/>
    </row>
    <row r="922" spans="15:15" ht="12.75">
      <c r="O922" s="2"/>
    </row>
    <row r="923" spans="15:15" ht="12.75">
      <c r="O923" s="2"/>
    </row>
    <row r="924" spans="15:15" ht="12.75">
      <c r="O924" s="2"/>
    </row>
    <row r="925" spans="15:15" ht="12.75">
      <c r="O925" s="2"/>
    </row>
    <row r="926" spans="15:15" ht="12.75">
      <c r="O926" s="2"/>
    </row>
    <row r="927" spans="15:15" ht="12.75">
      <c r="O927" s="2"/>
    </row>
    <row r="928" spans="15:15" ht="12.75">
      <c r="O928" s="2"/>
    </row>
    <row r="929" spans="15:15" ht="12.75">
      <c r="O929" s="2"/>
    </row>
    <row r="930" spans="15:15" ht="12.75">
      <c r="O930" s="2"/>
    </row>
    <row r="931" spans="15:15" ht="12.75">
      <c r="O931" s="2"/>
    </row>
    <row r="932" spans="15:15" ht="12.75">
      <c r="O932" s="2"/>
    </row>
    <row r="933" spans="15:15" ht="12.75">
      <c r="O933" s="2"/>
    </row>
    <row r="934" spans="15:15" ht="12.75">
      <c r="O934" s="2"/>
    </row>
    <row r="935" spans="15:15" ht="12.75">
      <c r="O935" s="2"/>
    </row>
    <row r="936" spans="15:15" ht="12.75">
      <c r="O936" s="2"/>
    </row>
    <row r="937" spans="15:15" ht="12.75">
      <c r="O937" s="2"/>
    </row>
    <row r="938" spans="15:15" ht="12.75">
      <c r="O938" s="2"/>
    </row>
    <row r="939" spans="15:15" ht="12.75">
      <c r="O939" s="2"/>
    </row>
    <row r="940" spans="15:15" ht="12.75">
      <c r="O940" s="2"/>
    </row>
    <row r="941" spans="15:15" ht="12.75">
      <c r="O941" s="2"/>
    </row>
    <row r="942" spans="15:15" ht="12.75">
      <c r="O942" s="2"/>
    </row>
    <row r="943" spans="15:15" ht="12.75">
      <c r="O943" s="2"/>
    </row>
    <row r="944" spans="15:15" ht="12.75">
      <c r="O944" s="2"/>
    </row>
    <row r="945" spans="15:15" ht="12.75">
      <c r="O945" s="2"/>
    </row>
    <row r="946" spans="15:15" ht="12.75">
      <c r="O946" s="2"/>
    </row>
    <row r="947" spans="15:15" ht="12.75">
      <c r="O947" s="2"/>
    </row>
    <row r="948" spans="15:15" ht="12.75">
      <c r="O948" s="2"/>
    </row>
    <row r="949" spans="15:15" ht="12.75">
      <c r="O949" s="2"/>
    </row>
    <row r="950" spans="15:15" ht="12.75">
      <c r="O950" s="2"/>
    </row>
    <row r="951" spans="15:15" ht="12.75">
      <c r="O951" s="2"/>
    </row>
    <row r="952" spans="15:15" ht="12.75">
      <c r="O952" s="2"/>
    </row>
    <row r="953" spans="15:15" ht="12.75">
      <c r="O953" s="2"/>
    </row>
    <row r="954" spans="15:15" ht="12.75">
      <c r="O954" s="2"/>
    </row>
    <row r="955" spans="15:15" ht="12.75">
      <c r="O955" s="2"/>
    </row>
    <row r="956" spans="15:15" ht="12.75">
      <c r="O956" s="2"/>
    </row>
    <row r="957" spans="15:15" ht="12.75">
      <c r="O957" s="2"/>
    </row>
    <row r="958" spans="15:15" ht="12.75">
      <c r="O958" s="2"/>
    </row>
    <row r="959" spans="15:15" ht="12.75">
      <c r="O959" s="2"/>
    </row>
    <row r="960" spans="15:15" ht="12.75">
      <c r="O960" s="2"/>
    </row>
    <row r="961" spans="15:15" ht="12.75">
      <c r="O961" s="2"/>
    </row>
    <row r="962" spans="15:15" ht="12.75">
      <c r="O962" s="2"/>
    </row>
    <row r="963" spans="15:15" ht="12.75">
      <c r="O963" s="2"/>
    </row>
    <row r="964" spans="15:15" ht="12.75">
      <c r="O964" s="2"/>
    </row>
    <row r="965" spans="15:15" ht="12.75">
      <c r="O965" s="2"/>
    </row>
    <row r="966" spans="15:15" ht="12.75">
      <c r="O966" s="2"/>
    </row>
    <row r="967" spans="15:15" ht="12.75">
      <c r="O967" s="2"/>
    </row>
    <row r="968" spans="15:15" ht="12.75">
      <c r="O968" s="2"/>
    </row>
    <row r="969" spans="15:15" ht="12.75">
      <c r="O969" s="2"/>
    </row>
    <row r="970" spans="15:15" ht="12.75">
      <c r="O970" s="2"/>
    </row>
    <row r="971" spans="15:15" ht="12.75">
      <c r="O971" s="2"/>
    </row>
    <row r="972" spans="15:15" ht="12.75">
      <c r="O972" s="2"/>
    </row>
    <row r="973" spans="15:15" ht="12.75">
      <c r="O973" s="2"/>
    </row>
    <row r="974" spans="15:15" ht="12.75">
      <c r="O974" s="2"/>
    </row>
    <row r="975" spans="15:15" ht="12.75">
      <c r="O975" s="2"/>
    </row>
    <row r="976" spans="15:15" ht="12.75">
      <c r="O976" s="2"/>
    </row>
    <row r="977" spans="15:15" ht="12.75">
      <c r="O977" s="2"/>
    </row>
    <row r="978" spans="15:15" ht="12.75">
      <c r="O978" s="2"/>
    </row>
    <row r="979" spans="15:15" ht="12.75">
      <c r="O979" s="2"/>
    </row>
    <row r="980" spans="15:15" ht="12.75">
      <c r="O980" s="2"/>
    </row>
    <row r="981" spans="15:15" ht="12.75">
      <c r="O981" s="2"/>
    </row>
    <row r="982" spans="15:15" ht="12.75">
      <c r="O982" s="2"/>
    </row>
    <row r="983" spans="15:15" ht="12.75">
      <c r="O983" s="2"/>
    </row>
    <row r="984" spans="15:15" ht="12.75">
      <c r="O984" s="2"/>
    </row>
    <row r="985" spans="15:15" ht="12.75">
      <c r="O985" s="2"/>
    </row>
    <row r="986" spans="15:15" ht="12.75">
      <c r="O986" s="2"/>
    </row>
    <row r="987" spans="15:15" ht="12.75">
      <c r="O987" s="2"/>
    </row>
    <row r="988" spans="15:15" ht="12.75">
      <c r="O988" s="2"/>
    </row>
    <row r="989" spans="15:15" ht="12.75">
      <c r="O989" s="2"/>
    </row>
    <row r="990" spans="15:15" ht="12.75">
      <c r="O990" s="2"/>
    </row>
    <row r="991" spans="15:15" ht="12.75">
      <c r="O991" s="2"/>
    </row>
    <row r="992" spans="15:15" ht="12.75">
      <c r="O992" s="2"/>
    </row>
    <row r="993" spans="15:15" ht="12.75">
      <c r="O993" s="2"/>
    </row>
    <row r="994" spans="15:15" ht="12.75">
      <c r="O994" s="2"/>
    </row>
    <row r="995" spans="15:15" ht="12.75">
      <c r="O995" s="2"/>
    </row>
    <row r="996" spans="15:15" ht="12.75">
      <c r="O996" s="2"/>
    </row>
    <row r="997" spans="15:15" ht="12.75">
      <c r="O997" s="2"/>
    </row>
    <row r="998" spans="15:15" ht="12.75">
      <c r="O998" s="2"/>
    </row>
    <row r="999" spans="15:15" ht="12.75">
      <c r="O999" s="2"/>
    </row>
    <row r="1000" spans="15:15" ht="12.75">
      <c r="O1000" s="2"/>
    </row>
    <row r="1001" spans="15:15" ht="12.75">
      <c r="O1001" s="2"/>
    </row>
    <row r="1002" spans="15:15" ht="12.75">
      <c r="O1002" s="2"/>
    </row>
    <row r="1003" spans="15:15" ht="12.75">
      <c r="O1003" s="2"/>
    </row>
    <row r="1004" spans="15:15" ht="12.75">
      <c r="O1004" s="2"/>
    </row>
    <row r="1005" spans="15:15" ht="12.75">
      <c r="O1005" s="2"/>
    </row>
  </sheetData>
  <autoFilter ref="A2:N43" xr:uid="{00000000-0009-0000-0000-00000A000000}"/>
  <customSheetViews>
    <customSheetView guid="{C6C5E855-7C77-4921-8F13-A733EE6303FA}" filter="1" showAutoFilter="1">
      <pageMargins left="0.7" right="0.7" top="0.75" bottom="0.75" header="0.3" footer="0.3"/>
      <autoFilter ref="A2:N1005" xr:uid="{5AC89B36-0DEB-478E-B0E0-A73A34428B3A}">
        <filterColumn colId="2">
          <filters blank="1">
            <filter val="M"/>
          </filters>
        </filterColumn>
        <filterColumn colId="3">
          <filters>
            <filter val="25m 9,0mm H5"/>
          </filters>
        </filterColumn>
        <filterColumn colId="4">
          <filters blank="1">
            <filter val="Võistkond"/>
          </filters>
        </filterColumn>
      </autoFilter>
    </customSheetView>
    <customSheetView guid="{845FBECC-592C-4475-9184-0C9DD86A8A6D}" filter="1" showAutoFilter="1">
      <pageMargins left="0.7" right="0.7" top="0.75" bottom="0.75" header="0.3" footer="0.3"/>
      <autoFilter ref="A2:N1005" xr:uid="{1417A6CF-4AF6-4945-8F96-2C79ABE3C62C}">
        <filterColumn colId="2">
          <filters>
            <filter val="N"/>
          </filters>
        </filterColumn>
        <filterColumn colId="3">
          <filters blank="1">
            <filter val="25m 9,0mm H5"/>
          </filters>
        </filterColumn>
      </autoFilter>
    </customSheetView>
  </customSheetView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X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4.5703125" customWidth="1"/>
    <col min="3" max="3" width="7.42578125" customWidth="1"/>
    <col min="4" max="4" width="13.42578125" customWidth="1"/>
    <col min="6" max="6" width="7.42578125" customWidth="1"/>
    <col min="7" max="7" width="9.42578125" customWidth="1"/>
    <col min="8" max="8" width="9" customWidth="1"/>
    <col min="9" max="9" width="10" customWidth="1"/>
    <col min="10" max="10" width="9.42578125" customWidth="1"/>
    <col min="11" max="11" width="9.5703125" customWidth="1"/>
    <col min="12" max="12" width="9.28515625" customWidth="1"/>
    <col min="13" max="13" width="10.28515625" customWidth="1"/>
    <col min="14" max="14" width="10.42578125" customWidth="1"/>
  </cols>
  <sheetData>
    <row r="1" spans="1:24">
      <c r="A1" s="8" t="s">
        <v>5</v>
      </c>
      <c r="B1" s="8"/>
      <c r="C1" s="27" t="s">
        <v>43</v>
      </c>
      <c r="D1" s="28"/>
      <c r="E1" s="28"/>
      <c r="F1" s="8"/>
      <c r="G1" s="8"/>
      <c r="H1" s="11" t="s">
        <v>44</v>
      </c>
      <c r="K1" s="27" t="s">
        <v>45</v>
      </c>
      <c r="L1" s="28"/>
      <c r="M1" s="28"/>
      <c r="N1" s="28"/>
      <c r="O1" s="1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2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 t="str">
        <f ca="1">IFERROR(__xludf.DUMMYFUNCTION("SORT(FILTER(Nimekiri,ALA=A1),13,FALSE,12,FALSE)"),"Reijo Virolainen")</f>
        <v>Reijo Virolainen</v>
      </c>
      <c r="B3" s="6" t="str">
        <f ca="1">IFERROR(__xludf.DUMMYFUNCTION("""COMPUTED_VALUE"""),"Tartu")</f>
        <v>Tartu</v>
      </c>
      <c r="C3" s="6" t="str">
        <f ca="1">IFERROR(__xludf.DUMMYFUNCTION("""COMPUTED_VALUE"""),"M")</f>
        <v>M</v>
      </c>
      <c r="D3" s="6" t="str">
        <f ca="1">IFERROR(__xludf.DUMMYFUNCTION("""COMPUTED_VALUE"""),"25m .22 30+30 H8")</f>
        <v>25m .22 30+30 H8</v>
      </c>
      <c r="E3" s="6" t="str">
        <f ca="1">IFERROR(__xludf.DUMMYFUNCTION("""COMPUTED_VALUE"""),"Võistkond")</f>
        <v>Võistkond</v>
      </c>
      <c r="F3" s="6" t="str">
        <f ca="1">IFERROR(__xludf.DUMMYFUNCTION("""COMPUTED_VALUE"""),"10.09.23")</f>
        <v>10.09.23</v>
      </c>
      <c r="G3" s="6">
        <f ca="1">IFERROR(__xludf.DUMMYFUNCTION("""COMPUTED_VALUE"""),98)</f>
        <v>98</v>
      </c>
      <c r="H3" s="6">
        <f ca="1">IFERROR(__xludf.DUMMYFUNCTION("""COMPUTED_VALUE"""),98)</f>
        <v>98</v>
      </c>
      <c r="I3" s="6">
        <f ca="1">IFERROR(__xludf.DUMMYFUNCTION("""COMPUTED_VALUE"""),99)</f>
        <v>99</v>
      </c>
      <c r="J3" s="6">
        <f ca="1">IFERROR(__xludf.DUMMYFUNCTION("""COMPUTED_VALUE"""),97)</f>
        <v>97</v>
      </c>
      <c r="K3" s="6">
        <f ca="1">IFERROR(__xludf.DUMMYFUNCTION("""COMPUTED_VALUE"""),99)</f>
        <v>99</v>
      </c>
      <c r="L3" s="6">
        <f ca="1">IFERROR(__xludf.DUMMYFUNCTION("""COMPUTED_VALUE"""),98)</f>
        <v>98</v>
      </c>
      <c r="M3" s="6">
        <f ca="1">IFERROR(__xludf.DUMMYFUNCTION("""COMPUTED_VALUE"""),589)</f>
        <v>589</v>
      </c>
      <c r="N3" s="6">
        <f ca="1">IFERROR(__xludf.DUMMYFUNCTION("""COMPUTED_VALUE"""),294.5)</f>
        <v>294.5</v>
      </c>
      <c r="O3" s="2"/>
    </row>
    <row r="4" spans="1:24">
      <c r="A4" s="6" t="str">
        <f ca="1">IFERROR(__xludf.DUMMYFUNCTION("""COMPUTED_VALUE"""),"Peeter Olesk")</f>
        <v>Peeter Olesk</v>
      </c>
      <c r="B4" s="6" t="str">
        <f ca="1">IFERROR(__xludf.DUMMYFUNCTION("""COMPUTED_VALUE"""),"Tallinn")</f>
        <v>Tallinn</v>
      </c>
      <c r="C4" s="6" t="str">
        <f ca="1">IFERROR(__xludf.DUMMYFUNCTION("""COMPUTED_VALUE"""),"M")</f>
        <v>M</v>
      </c>
      <c r="D4" s="6" t="str">
        <f ca="1">IFERROR(__xludf.DUMMYFUNCTION("""COMPUTED_VALUE"""),"25m .22 30+30 H8")</f>
        <v>25m .22 30+30 H8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IFERROR(__xludf.DUMMYFUNCTION("""COMPUTED_VALUE"""),93)</f>
        <v>93</v>
      </c>
      <c r="H4" s="6">
        <f ca="1">IFERROR(__xludf.DUMMYFUNCTION("""COMPUTED_VALUE"""),95)</f>
        <v>95</v>
      </c>
      <c r="I4" s="6">
        <f ca="1">IFERROR(__xludf.DUMMYFUNCTION("""COMPUTED_VALUE"""),96)</f>
        <v>96</v>
      </c>
      <c r="J4" s="6">
        <f ca="1">IFERROR(__xludf.DUMMYFUNCTION("""COMPUTED_VALUE"""),96)</f>
        <v>96</v>
      </c>
      <c r="K4" s="6">
        <f ca="1">IFERROR(__xludf.DUMMYFUNCTION("""COMPUTED_VALUE"""),97)</f>
        <v>97</v>
      </c>
      <c r="L4" s="6">
        <f ca="1">IFERROR(__xludf.DUMMYFUNCTION("""COMPUTED_VALUE"""),100)</f>
        <v>100</v>
      </c>
      <c r="M4" s="6">
        <f ca="1">IFERROR(__xludf.DUMMYFUNCTION("""COMPUTED_VALUE"""),577)</f>
        <v>577</v>
      </c>
      <c r="N4" s="6">
        <f ca="1">IFERROR(__xludf.DUMMYFUNCTION("""COMPUTED_VALUE"""),288.5)</f>
        <v>288.5</v>
      </c>
      <c r="O4" s="2"/>
    </row>
    <row r="5" spans="1:24">
      <c r="A5" s="6" t="str">
        <f ca="1">IFERROR(__xludf.DUMMYFUNCTION("""COMPUTED_VALUE"""),"Marja Kirss")</f>
        <v>Marja Kirss</v>
      </c>
      <c r="B5" s="6" t="str">
        <f ca="1">IFERROR(__xludf.DUMMYFUNCTION("""COMPUTED_VALUE"""),"Sakala")</f>
        <v>Sakala</v>
      </c>
      <c r="C5" s="6" t="str">
        <f ca="1">IFERROR(__xludf.DUMMYFUNCTION("""COMPUTED_VALUE"""),"NJ")</f>
        <v>NJ</v>
      </c>
      <c r="D5" s="6" t="str">
        <f ca="1">IFERROR(__xludf.DUMMYFUNCTION("""COMPUTED_VALUE"""),"25m .22 30+30 H8")</f>
        <v>25m .22 30+30 H8</v>
      </c>
      <c r="E5" s="6" t="str">
        <f ca="1">IFERROR(__xludf.DUMMYFUNCTION("""COMPUTED_VALUE"""),"Võistkond")</f>
        <v>Võistkond</v>
      </c>
      <c r="F5" s="6" t="str">
        <f ca="1">IFERROR(__xludf.DUMMYFUNCTION("""COMPUTED_VALUE"""),"10.09.23")</f>
        <v>10.09.23</v>
      </c>
      <c r="G5" s="6">
        <f ca="1">IFERROR(__xludf.DUMMYFUNCTION("""COMPUTED_VALUE"""),93)</f>
        <v>93</v>
      </c>
      <c r="H5" s="6">
        <f ca="1">IFERROR(__xludf.DUMMYFUNCTION("""COMPUTED_VALUE"""),94)</f>
        <v>94</v>
      </c>
      <c r="I5" s="6">
        <f ca="1">IFERROR(__xludf.DUMMYFUNCTION("""COMPUTED_VALUE"""),95)</f>
        <v>95</v>
      </c>
      <c r="J5" s="6">
        <f ca="1">IFERROR(__xludf.DUMMYFUNCTION("""COMPUTED_VALUE"""),99)</f>
        <v>99</v>
      </c>
      <c r="K5" s="6">
        <f ca="1">IFERROR(__xludf.DUMMYFUNCTION("""COMPUTED_VALUE"""),95)</f>
        <v>95</v>
      </c>
      <c r="L5" s="6">
        <f ca="1">IFERROR(__xludf.DUMMYFUNCTION("""COMPUTED_VALUE"""),98)</f>
        <v>98</v>
      </c>
      <c r="M5" s="6">
        <f ca="1">IFERROR(__xludf.DUMMYFUNCTION("""COMPUTED_VALUE"""),574)</f>
        <v>574</v>
      </c>
      <c r="N5" s="6">
        <f ca="1">IFERROR(__xludf.DUMMYFUNCTION("""COMPUTED_VALUE"""),287)</f>
        <v>287</v>
      </c>
      <c r="O5" s="2"/>
    </row>
    <row r="6" spans="1:24">
      <c r="A6" s="6" t="str">
        <f ca="1">IFERROR(__xludf.DUMMYFUNCTION("""COMPUTED_VALUE"""),"Triin Kuusik")</f>
        <v>Triin Kuusik</v>
      </c>
      <c r="B6" s="6" t="str">
        <f ca="1">IFERROR(__xludf.DUMMYFUNCTION("""COMPUTED_VALUE"""),"Lääne")</f>
        <v>Lääne</v>
      </c>
      <c r="C6" s="6" t="str">
        <f ca="1">IFERROR(__xludf.DUMMYFUNCTION("""COMPUTED_VALUE"""),"N")</f>
        <v>N</v>
      </c>
      <c r="D6" s="6" t="str">
        <f ca="1">IFERROR(__xludf.DUMMYFUNCTION("""COMPUTED_VALUE"""),"25m .22 30+30 H8")</f>
        <v>25m .22 30+30 H8</v>
      </c>
      <c r="E6" s="6" t="str">
        <f ca="1">IFERROR(__xludf.DUMMYFUNCTION("""COMPUTED_VALUE"""),"Võistkond")</f>
        <v>Võistkond</v>
      </c>
      <c r="F6" s="6" t="str">
        <f ca="1">IFERROR(__xludf.DUMMYFUNCTION("""COMPUTED_VALUE"""),"10.09.23")</f>
        <v>10.09.23</v>
      </c>
      <c r="G6" s="6">
        <f ca="1">IFERROR(__xludf.DUMMYFUNCTION("""COMPUTED_VALUE"""),94)</f>
        <v>94</v>
      </c>
      <c r="H6" s="6">
        <f ca="1">IFERROR(__xludf.DUMMYFUNCTION("""COMPUTED_VALUE"""),99)</f>
        <v>99</v>
      </c>
      <c r="I6" s="6">
        <f ca="1">IFERROR(__xludf.DUMMYFUNCTION("""COMPUTED_VALUE"""),95)</f>
        <v>95</v>
      </c>
      <c r="J6" s="6">
        <f ca="1">IFERROR(__xludf.DUMMYFUNCTION("""COMPUTED_VALUE"""),93)</f>
        <v>93</v>
      </c>
      <c r="K6" s="6">
        <f ca="1">IFERROR(__xludf.DUMMYFUNCTION("""COMPUTED_VALUE"""),92)</f>
        <v>92</v>
      </c>
      <c r="L6" s="6">
        <f ca="1">IFERROR(__xludf.DUMMYFUNCTION("""COMPUTED_VALUE"""),95)</f>
        <v>95</v>
      </c>
      <c r="M6" s="6">
        <f ca="1">IFERROR(__xludf.DUMMYFUNCTION("""COMPUTED_VALUE"""),568)</f>
        <v>568</v>
      </c>
      <c r="N6" s="6">
        <f ca="1">IFERROR(__xludf.DUMMYFUNCTION("""COMPUTED_VALUE"""),284)</f>
        <v>284</v>
      </c>
    </row>
    <row r="7" spans="1:24">
      <c r="A7" s="6" t="str">
        <f ca="1">IFERROR(__xludf.DUMMYFUNCTION("""COMPUTED_VALUE"""),"Meelis Lehtpuu")</f>
        <v>Meelis Lehtpuu</v>
      </c>
      <c r="B7" s="6" t="str">
        <f ca="1">IFERROR(__xludf.DUMMYFUNCTION("""COMPUTED_VALUE"""),"Tallinn")</f>
        <v>Tallinn</v>
      </c>
      <c r="C7" s="6" t="str">
        <f ca="1">IFERROR(__xludf.DUMMYFUNCTION("""COMPUTED_VALUE"""),"M")</f>
        <v>M</v>
      </c>
      <c r="D7" s="6" t="str">
        <f ca="1">IFERROR(__xludf.DUMMYFUNCTION("""COMPUTED_VALUE"""),"25m .22 30+30 H8")</f>
        <v>25m .22 30+30 H8</v>
      </c>
      <c r="E7" s="6" t="str">
        <f ca="1">IFERROR(__xludf.DUMMYFUNCTION("""COMPUTED_VALUE"""),"Individuaalne")</f>
        <v>Individuaalne</v>
      </c>
      <c r="F7" s="6" t="str">
        <f ca="1">IFERROR(__xludf.DUMMYFUNCTION("""COMPUTED_VALUE"""),"09.09.23")</f>
        <v>09.09.23</v>
      </c>
      <c r="G7" s="6">
        <f ca="1">IFERROR(__xludf.DUMMYFUNCTION("""COMPUTED_VALUE"""),92)</f>
        <v>92</v>
      </c>
      <c r="H7" s="6">
        <f ca="1">IFERROR(__xludf.DUMMYFUNCTION("""COMPUTED_VALUE"""),93)</f>
        <v>93</v>
      </c>
      <c r="I7" s="6">
        <f ca="1">IFERROR(__xludf.DUMMYFUNCTION("""COMPUTED_VALUE"""),90)</f>
        <v>90</v>
      </c>
      <c r="J7" s="6">
        <f ca="1">IFERROR(__xludf.DUMMYFUNCTION("""COMPUTED_VALUE"""),94)</f>
        <v>94</v>
      </c>
      <c r="K7" s="6">
        <f ca="1">IFERROR(__xludf.DUMMYFUNCTION("""COMPUTED_VALUE"""),97)</f>
        <v>97</v>
      </c>
      <c r="L7" s="6">
        <f ca="1">IFERROR(__xludf.DUMMYFUNCTION("""COMPUTED_VALUE"""),98)</f>
        <v>98</v>
      </c>
      <c r="M7" s="6">
        <f ca="1">IFERROR(__xludf.DUMMYFUNCTION("""COMPUTED_VALUE"""),564)</f>
        <v>564</v>
      </c>
      <c r="N7" s="6"/>
    </row>
    <row r="8" spans="1:24">
      <c r="A8" s="6" t="str">
        <f ca="1">IFERROR(__xludf.DUMMYFUNCTION("""COMPUTED_VALUE"""),"Kristina Kiisk")</f>
        <v>Kristina Kiisk</v>
      </c>
      <c r="B8" s="6" t="str">
        <f ca="1">IFERROR(__xludf.DUMMYFUNCTION("""COMPUTED_VALUE"""),"Järva")</f>
        <v>Järva</v>
      </c>
      <c r="C8" s="6" t="str">
        <f ca="1">IFERROR(__xludf.DUMMYFUNCTION("""COMPUTED_VALUE"""),"N")</f>
        <v>N</v>
      </c>
      <c r="D8" s="6" t="str">
        <f ca="1">IFERROR(__xludf.DUMMYFUNCTION("""COMPUTED_VALUE"""),"25m .22 30+30 H8")</f>
        <v>25m .22 30+30 H8</v>
      </c>
      <c r="E8" s="6" t="str">
        <f ca="1">IFERROR(__xludf.DUMMYFUNCTION("""COMPUTED_VALUE"""),"Võistkond")</f>
        <v>Võistkond</v>
      </c>
      <c r="F8" s="6" t="str">
        <f ca="1">IFERROR(__xludf.DUMMYFUNCTION("""COMPUTED_VALUE"""),"09.09.23")</f>
        <v>09.09.23</v>
      </c>
      <c r="G8" s="6">
        <f ca="1">IFERROR(__xludf.DUMMYFUNCTION("""COMPUTED_VALUE"""),95)</f>
        <v>95</v>
      </c>
      <c r="H8" s="6">
        <f ca="1">IFERROR(__xludf.DUMMYFUNCTION("""COMPUTED_VALUE"""),95)</f>
        <v>95</v>
      </c>
      <c r="I8" s="6">
        <f ca="1">IFERROR(__xludf.DUMMYFUNCTION("""COMPUTED_VALUE"""),94)</f>
        <v>94</v>
      </c>
      <c r="J8" s="6">
        <f ca="1">IFERROR(__xludf.DUMMYFUNCTION("""COMPUTED_VALUE"""),96)</f>
        <v>96</v>
      </c>
      <c r="K8" s="6">
        <f ca="1">IFERROR(__xludf.DUMMYFUNCTION("""COMPUTED_VALUE"""),90)</f>
        <v>90</v>
      </c>
      <c r="L8" s="6">
        <f ca="1">IFERROR(__xludf.DUMMYFUNCTION("""COMPUTED_VALUE"""),92)</f>
        <v>92</v>
      </c>
      <c r="M8" s="6">
        <f ca="1">IFERROR(__xludf.DUMMYFUNCTION("""COMPUTED_VALUE"""),562)</f>
        <v>562</v>
      </c>
      <c r="N8" s="6">
        <f ca="1">IFERROR(__xludf.DUMMYFUNCTION("""COMPUTED_VALUE"""),281)</f>
        <v>281</v>
      </c>
      <c r="O8" s="2"/>
    </row>
    <row r="9" spans="1:24">
      <c r="A9" s="6" t="str">
        <f ca="1">IFERROR(__xludf.DUMMYFUNCTION("""COMPUTED_VALUE"""),"Triin Tähtla")</f>
        <v>Triin Tähtla</v>
      </c>
      <c r="B9" s="6" t="str">
        <f ca="1">IFERROR(__xludf.DUMMYFUNCTION("""COMPUTED_VALUE"""),"Rapla")</f>
        <v>Rapla</v>
      </c>
      <c r="C9" s="6" t="str">
        <f ca="1">IFERROR(__xludf.DUMMYFUNCTION("""COMPUTED_VALUE"""),"N")</f>
        <v>N</v>
      </c>
      <c r="D9" s="6" t="str">
        <f ca="1">IFERROR(__xludf.DUMMYFUNCTION("""COMPUTED_VALUE"""),"25m .22 30+30 H8")</f>
        <v>25m .22 30+30 H8</v>
      </c>
      <c r="E9" s="6" t="str">
        <f ca="1">IFERROR(__xludf.DUMMYFUNCTION("""COMPUTED_VALUE"""),"Võistkond")</f>
        <v>Võistkond</v>
      </c>
      <c r="F9" s="6" t="str">
        <f ca="1">IFERROR(__xludf.DUMMYFUNCTION("""COMPUTED_VALUE"""),"10.09.23")</f>
        <v>10.09.23</v>
      </c>
      <c r="G9" s="6">
        <f ca="1">IFERROR(__xludf.DUMMYFUNCTION("""COMPUTED_VALUE"""),94)</f>
        <v>94</v>
      </c>
      <c r="H9" s="6">
        <f ca="1">IFERROR(__xludf.DUMMYFUNCTION("""COMPUTED_VALUE"""),92)</f>
        <v>92</v>
      </c>
      <c r="I9" s="6">
        <f ca="1">IFERROR(__xludf.DUMMYFUNCTION("""COMPUTED_VALUE"""),89)</f>
        <v>89</v>
      </c>
      <c r="J9" s="6">
        <f ca="1">IFERROR(__xludf.DUMMYFUNCTION("""COMPUTED_VALUE"""),93)</f>
        <v>93</v>
      </c>
      <c r="K9" s="6">
        <f ca="1">IFERROR(__xludf.DUMMYFUNCTION("""COMPUTED_VALUE"""),91)</f>
        <v>91</v>
      </c>
      <c r="L9" s="6">
        <f ca="1">IFERROR(__xludf.DUMMYFUNCTION("""COMPUTED_VALUE"""),99)</f>
        <v>99</v>
      </c>
      <c r="M9" s="6">
        <f ca="1">IFERROR(__xludf.DUMMYFUNCTION("""COMPUTED_VALUE"""),558)</f>
        <v>558</v>
      </c>
      <c r="N9" s="6">
        <f ca="1">IFERROR(__xludf.DUMMYFUNCTION("""COMPUTED_VALUE"""),279)</f>
        <v>279</v>
      </c>
      <c r="O9" s="2"/>
    </row>
    <row r="10" spans="1:24">
      <c r="A10" s="6" t="str">
        <f ca="1">IFERROR(__xludf.DUMMYFUNCTION("""COMPUTED_VALUE"""),"Silver Mäe")</f>
        <v>Silver Mäe</v>
      </c>
      <c r="B10" s="6" t="str">
        <f ca="1">IFERROR(__xludf.DUMMYFUNCTION("""COMPUTED_VALUE"""),"Sakala")</f>
        <v>Sakala</v>
      </c>
      <c r="C10" s="6" t="str">
        <f ca="1">IFERROR(__xludf.DUMMYFUNCTION("""COMPUTED_VALUE"""),"M")</f>
        <v>M</v>
      </c>
      <c r="D10" s="6" t="str">
        <f ca="1">IFERROR(__xludf.DUMMYFUNCTION("""COMPUTED_VALUE"""),"25m .22 30+30 H8")</f>
        <v>25m .22 30+30 H8</v>
      </c>
      <c r="E10" s="6" t="str">
        <f ca="1">IFERROR(__xludf.DUMMYFUNCTION("""COMPUTED_VALUE"""),"Võistkond")</f>
        <v>Võistkond</v>
      </c>
      <c r="F10" s="6" t="str">
        <f ca="1">IFERROR(__xludf.DUMMYFUNCTION("""COMPUTED_VALUE"""),"10.09.23")</f>
        <v>10.09.23</v>
      </c>
      <c r="G10" s="6">
        <f ca="1">IFERROR(__xludf.DUMMYFUNCTION("""COMPUTED_VALUE"""),94)</f>
        <v>94</v>
      </c>
      <c r="H10" s="6">
        <f ca="1">IFERROR(__xludf.DUMMYFUNCTION("""COMPUTED_VALUE"""),99)</f>
        <v>99</v>
      </c>
      <c r="I10" s="6">
        <f ca="1">IFERROR(__xludf.DUMMYFUNCTION("""COMPUTED_VALUE"""),92)</f>
        <v>92</v>
      </c>
      <c r="J10" s="6">
        <f ca="1">IFERROR(__xludf.DUMMYFUNCTION("""COMPUTED_VALUE"""),87)</f>
        <v>87</v>
      </c>
      <c r="K10" s="6">
        <f ca="1">IFERROR(__xludf.DUMMYFUNCTION("""COMPUTED_VALUE"""),90)</f>
        <v>90</v>
      </c>
      <c r="L10" s="6">
        <f ca="1">IFERROR(__xludf.DUMMYFUNCTION("""COMPUTED_VALUE"""),93)</f>
        <v>93</v>
      </c>
      <c r="M10" s="6">
        <f ca="1">IFERROR(__xludf.DUMMYFUNCTION("""COMPUTED_VALUE"""),555)</f>
        <v>555</v>
      </c>
      <c r="N10" s="6">
        <f ca="1">IFERROR(__xludf.DUMMYFUNCTION("""COMPUTED_VALUE"""),277.5)</f>
        <v>277.5</v>
      </c>
      <c r="O10" s="2"/>
    </row>
    <row r="11" spans="1:24">
      <c r="A11" s="6" t="str">
        <f ca="1">IFERROR(__xludf.DUMMYFUNCTION("""COMPUTED_VALUE"""),"Ragnar Puio")</f>
        <v>Ragnar Puio</v>
      </c>
      <c r="B11" s="6" t="str">
        <f ca="1">IFERROR(__xludf.DUMMYFUNCTION("""COMPUTED_VALUE"""),"Tallinn")</f>
        <v>Tallinn</v>
      </c>
      <c r="C11" s="6" t="str">
        <f ca="1">IFERROR(__xludf.DUMMYFUNCTION("""COMPUTED_VALUE"""),"MJ")</f>
        <v>MJ</v>
      </c>
      <c r="D11" s="6" t="str">
        <f ca="1">IFERROR(__xludf.DUMMYFUNCTION("""COMPUTED_VALUE"""),"25m .22 30+30 H8")</f>
        <v>25m .22 30+30 H8</v>
      </c>
      <c r="E11" s="6" t="str">
        <f ca="1">IFERROR(__xludf.DUMMYFUNCTION("""COMPUTED_VALUE"""),"Individuaalne")</f>
        <v>Individuaalne</v>
      </c>
      <c r="F11" s="6" t="str">
        <f ca="1">IFERROR(__xludf.DUMMYFUNCTION("""COMPUTED_VALUE"""),"09.09.23")</f>
        <v>09.09.23</v>
      </c>
      <c r="G11" s="6">
        <f ca="1">IFERROR(__xludf.DUMMYFUNCTION("""COMPUTED_VALUE"""),92)</f>
        <v>92</v>
      </c>
      <c r="H11" s="6">
        <f ca="1">IFERROR(__xludf.DUMMYFUNCTION("""COMPUTED_VALUE"""),91)</f>
        <v>91</v>
      </c>
      <c r="I11" s="6">
        <f ca="1">IFERROR(__xludf.DUMMYFUNCTION("""COMPUTED_VALUE"""),91)</f>
        <v>91</v>
      </c>
      <c r="J11" s="6">
        <f ca="1">IFERROR(__xludf.DUMMYFUNCTION("""COMPUTED_VALUE"""),89)</f>
        <v>89</v>
      </c>
      <c r="K11" s="6">
        <f ca="1">IFERROR(__xludf.DUMMYFUNCTION("""COMPUTED_VALUE"""),93)</f>
        <v>93</v>
      </c>
      <c r="L11" s="6">
        <f ca="1">IFERROR(__xludf.DUMMYFUNCTION("""COMPUTED_VALUE"""),92)</f>
        <v>92</v>
      </c>
      <c r="M11" s="6">
        <f ca="1">IFERROR(__xludf.DUMMYFUNCTION("""COMPUTED_VALUE"""),548)</f>
        <v>548</v>
      </c>
      <c r="N11" s="6"/>
    </row>
    <row r="12" spans="1:24">
      <c r="A12" s="6" t="str">
        <f ca="1">IFERROR(__xludf.DUMMYFUNCTION("""COMPUTED_VALUE"""),"Jaanus Raidlo")</f>
        <v>Jaanus Raidlo</v>
      </c>
      <c r="B12" s="6" t="str">
        <f ca="1">IFERROR(__xludf.DUMMYFUNCTION("""COMPUTED_VALUE"""),"Viru")</f>
        <v>Viru</v>
      </c>
      <c r="C12" s="6" t="str">
        <f ca="1">IFERROR(__xludf.DUMMYFUNCTION("""COMPUTED_VALUE"""),"M")</f>
        <v>M</v>
      </c>
      <c r="D12" s="6" t="str">
        <f ca="1">IFERROR(__xludf.DUMMYFUNCTION("""COMPUTED_VALUE"""),"25m .22 30+30 H8")</f>
        <v>25m .22 30+30 H8</v>
      </c>
      <c r="E12" s="6" t="str">
        <f ca="1">IFERROR(__xludf.DUMMYFUNCTION("""COMPUTED_VALUE"""),"Võistkond")</f>
        <v>Võistkond</v>
      </c>
      <c r="F12" s="6" t="str">
        <f ca="1">IFERROR(__xludf.DUMMYFUNCTION("""COMPUTED_VALUE"""),"10.09.23")</f>
        <v>10.09.23</v>
      </c>
      <c r="G12" s="6">
        <f ca="1">IFERROR(__xludf.DUMMYFUNCTION("""COMPUTED_VALUE"""),90)</f>
        <v>90</v>
      </c>
      <c r="H12" s="6">
        <f ca="1">IFERROR(__xludf.DUMMYFUNCTION("""COMPUTED_VALUE"""),85)</f>
        <v>85</v>
      </c>
      <c r="I12" s="6">
        <f ca="1">IFERROR(__xludf.DUMMYFUNCTION("""COMPUTED_VALUE"""),91)</f>
        <v>91</v>
      </c>
      <c r="J12" s="6">
        <f ca="1">IFERROR(__xludf.DUMMYFUNCTION("""COMPUTED_VALUE"""),97)</f>
        <v>97</v>
      </c>
      <c r="K12" s="6">
        <f ca="1">IFERROR(__xludf.DUMMYFUNCTION("""COMPUTED_VALUE"""),90)</f>
        <v>90</v>
      </c>
      <c r="L12" s="6">
        <f ca="1">IFERROR(__xludf.DUMMYFUNCTION("""COMPUTED_VALUE"""),90)</f>
        <v>90</v>
      </c>
      <c r="M12" s="6">
        <f ca="1">IFERROR(__xludf.DUMMYFUNCTION("""COMPUTED_VALUE"""),543)</f>
        <v>543</v>
      </c>
      <c r="N12" s="6">
        <f ca="1">IFERROR(__xludf.DUMMYFUNCTION("""COMPUTED_VALUE"""),271.5)</f>
        <v>271.5</v>
      </c>
      <c r="O12" s="2"/>
    </row>
    <row r="13" spans="1:24">
      <c r="A13" s="6" t="str">
        <f ca="1">IFERROR(__xludf.DUMMYFUNCTION("""COMPUTED_VALUE"""),"Lepo Jonuks")</f>
        <v>Lepo Jonuks</v>
      </c>
      <c r="B13" s="6" t="str">
        <f ca="1">IFERROR(__xludf.DUMMYFUNCTION("""COMPUTED_VALUE"""),"Järva")</f>
        <v>Järva</v>
      </c>
      <c r="C13" s="6" t="str">
        <f ca="1">IFERROR(__xludf.DUMMYFUNCTION("""COMPUTED_VALUE"""),"MJ")</f>
        <v>MJ</v>
      </c>
      <c r="D13" s="6" t="str">
        <f ca="1">IFERROR(__xludf.DUMMYFUNCTION("""COMPUTED_VALUE"""),"25m .22 30+30 H8")</f>
        <v>25m .22 30+30 H8</v>
      </c>
      <c r="E13" s="6" t="str">
        <f ca="1">IFERROR(__xludf.DUMMYFUNCTION("""COMPUTED_VALUE"""),"Võistkond")</f>
        <v>Võistkond</v>
      </c>
      <c r="F13" s="6" t="str">
        <f ca="1">IFERROR(__xludf.DUMMYFUNCTION("""COMPUTED_VALUE"""),"09.09.23")</f>
        <v>09.09.23</v>
      </c>
      <c r="G13" s="6">
        <f ca="1">IFERROR(__xludf.DUMMYFUNCTION("""COMPUTED_VALUE"""),83)</f>
        <v>83</v>
      </c>
      <c r="H13" s="6">
        <f ca="1">IFERROR(__xludf.DUMMYFUNCTION("""COMPUTED_VALUE"""),89)</f>
        <v>89</v>
      </c>
      <c r="I13" s="6">
        <f ca="1">IFERROR(__xludf.DUMMYFUNCTION("""COMPUTED_VALUE"""),88)</f>
        <v>88</v>
      </c>
      <c r="J13" s="6">
        <f ca="1">IFERROR(__xludf.DUMMYFUNCTION("""COMPUTED_VALUE"""),95)</f>
        <v>95</v>
      </c>
      <c r="K13" s="6">
        <f ca="1">IFERROR(__xludf.DUMMYFUNCTION("""COMPUTED_VALUE"""),94)</f>
        <v>94</v>
      </c>
      <c r="L13" s="6">
        <f ca="1">IFERROR(__xludf.DUMMYFUNCTION("""COMPUTED_VALUE"""),93)</f>
        <v>93</v>
      </c>
      <c r="M13" s="6">
        <f ca="1">IFERROR(__xludf.DUMMYFUNCTION("""COMPUTED_VALUE"""),542)</f>
        <v>542</v>
      </c>
      <c r="N13" s="6">
        <f ca="1">IFERROR(__xludf.DUMMYFUNCTION("""COMPUTED_VALUE"""),271)</f>
        <v>271</v>
      </c>
      <c r="O13" s="2"/>
    </row>
    <row r="14" spans="1:24">
      <c r="A14" s="6" t="str">
        <f ca="1">IFERROR(__xludf.DUMMYFUNCTION("""COMPUTED_VALUE"""),"Kristina Polunina")</f>
        <v>Kristina Polunina</v>
      </c>
      <c r="B14" s="6" t="str">
        <f ca="1">IFERROR(__xludf.DUMMYFUNCTION("""COMPUTED_VALUE"""),"Alutaguse")</f>
        <v>Alutaguse</v>
      </c>
      <c r="C14" s="6" t="str">
        <f ca="1">IFERROR(__xludf.DUMMYFUNCTION("""COMPUTED_VALUE"""),"N")</f>
        <v>N</v>
      </c>
      <c r="D14" s="6" t="str">
        <f ca="1">IFERROR(__xludf.DUMMYFUNCTION("""COMPUTED_VALUE"""),"25m .22 30+30 H8")</f>
        <v>25m .22 30+30 H8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IFERROR(__xludf.DUMMYFUNCTION("""COMPUTED_VALUE"""),90)</f>
        <v>90</v>
      </c>
      <c r="H14" s="6">
        <f ca="1">IFERROR(__xludf.DUMMYFUNCTION("""COMPUTED_VALUE"""),89)</f>
        <v>89</v>
      </c>
      <c r="I14" s="6">
        <f ca="1">IFERROR(__xludf.DUMMYFUNCTION("""COMPUTED_VALUE"""),91)</f>
        <v>91</v>
      </c>
      <c r="J14" s="6">
        <f ca="1">IFERROR(__xludf.DUMMYFUNCTION("""COMPUTED_VALUE"""),94)</f>
        <v>94</v>
      </c>
      <c r="K14" s="6">
        <f ca="1">IFERROR(__xludf.DUMMYFUNCTION("""COMPUTED_VALUE"""),85)</f>
        <v>85</v>
      </c>
      <c r="L14" s="6">
        <f ca="1">IFERROR(__xludf.DUMMYFUNCTION("""COMPUTED_VALUE"""),92)</f>
        <v>92</v>
      </c>
      <c r="M14" s="6">
        <f ca="1">IFERROR(__xludf.DUMMYFUNCTION("""COMPUTED_VALUE"""),541)</f>
        <v>541</v>
      </c>
      <c r="N14" s="6">
        <f ca="1">IFERROR(__xludf.DUMMYFUNCTION("""COMPUTED_VALUE"""),270.5)</f>
        <v>270.5</v>
      </c>
      <c r="O14" s="2"/>
    </row>
    <row r="15" spans="1:24">
      <c r="A15" s="6" t="str">
        <f ca="1">IFERROR(__xludf.DUMMYFUNCTION("""COMPUTED_VALUE"""),"Anne-Mai Nahk")</f>
        <v>Anne-Mai Nahk</v>
      </c>
      <c r="B15" s="6" t="str">
        <f ca="1">IFERROR(__xludf.DUMMYFUNCTION("""COMPUTED_VALUE"""),"Tallinn")</f>
        <v>Tallinn</v>
      </c>
      <c r="C15" s="6" t="str">
        <f ca="1">IFERROR(__xludf.DUMMYFUNCTION("""COMPUTED_VALUE"""),"N")</f>
        <v>N</v>
      </c>
      <c r="D15" s="6" t="str">
        <f ca="1">IFERROR(__xludf.DUMMYFUNCTION("""COMPUTED_VALUE"""),"25m .22 30+30 H8")</f>
        <v>25m .22 30+30 H8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IFERROR(__xludf.DUMMYFUNCTION("""COMPUTED_VALUE"""),91)</f>
        <v>91</v>
      </c>
      <c r="H15" s="6">
        <f ca="1">IFERROR(__xludf.DUMMYFUNCTION("""COMPUTED_VALUE"""),87)</f>
        <v>87</v>
      </c>
      <c r="I15" s="6">
        <f ca="1">IFERROR(__xludf.DUMMYFUNCTION("""COMPUTED_VALUE"""),90)</f>
        <v>90</v>
      </c>
      <c r="J15" s="6">
        <f ca="1">IFERROR(__xludf.DUMMYFUNCTION("""COMPUTED_VALUE"""),90)</f>
        <v>90</v>
      </c>
      <c r="K15" s="6">
        <f ca="1">IFERROR(__xludf.DUMMYFUNCTION("""COMPUTED_VALUE"""),91)</f>
        <v>91</v>
      </c>
      <c r="L15" s="6">
        <f ca="1">IFERROR(__xludf.DUMMYFUNCTION("""COMPUTED_VALUE"""),90)</f>
        <v>90</v>
      </c>
      <c r="M15" s="6">
        <f ca="1">IFERROR(__xludf.DUMMYFUNCTION("""COMPUTED_VALUE"""),539)</f>
        <v>539</v>
      </c>
      <c r="N15" s="6">
        <f ca="1">IFERROR(__xludf.DUMMYFUNCTION("""COMPUTED_VALUE"""),269.5)</f>
        <v>269.5</v>
      </c>
      <c r="O15" s="2"/>
    </row>
    <row r="16" spans="1:24">
      <c r="A16" s="6" t="str">
        <f ca="1">IFERROR(__xludf.DUMMYFUNCTION("""COMPUTED_VALUE"""),"Vladislav Grigorjev")</f>
        <v>Vladislav Grigorjev</v>
      </c>
      <c r="B16" s="6" t="str">
        <f ca="1">IFERROR(__xludf.DUMMYFUNCTION("""COMPUTED_VALUE"""),"Alutaguse")</f>
        <v>Alutaguse</v>
      </c>
      <c r="C16" s="6" t="str">
        <f ca="1">IFERROR(__xludf.DUMMYFUNCTION("""COMPUTED_VALUE"""),"MJ")</f>
        <v>MJ</v>
      </c>
      <c r="D16" s="6" t="str">
        <f ca="1">IFERROR(__xludf.DUMMYFUNCTION("""COMPUTED_VALUE"""),"25m .22 30+30 H8")</f>
        <v>25m .22 30+30 H8</v>
      </c>
      <c r="E16" s="6" t="str">
        <f ca="1">IFERROR(__xludf.DUMMYFUNCTION("""COMPUTED_VALUE"""),"Võistkond")</f>
        <v>Võistkond</v>
      </c>
      <c r="F16" s="6" t="str">
        <f ca="1">IFERROR(__xludf.DUMMYFUNCTION("""COMPUTED_VALUE"""),"09.09.23")</f>
        <v>09.09.23</v>
      </c>
      <c r="G16" s="6">
        <f ca="1">IFERROR(__xludf.DUMMYFUNCTION("""COMPUTED_VALUE"""),88)</f>
        <v>88</v>
      </c>
      <c r="H16" s="6">
        <f ca="1">IFERROR(__xludf.DUMMYFUNCTION("""COMPUTED_VALUE"""),90)</f>
        <v>90</v>
      </c>
      <c r="I16" s="6">
        <f ca="1">IFERROR(__xludf.DUMMYFUNCTION("""COMPUTED_VALUE"""),86)</f>
        <v>86</v>
      </c>
      <c r="J16" s="6">
        <f ca="1">IFERROR(__xludf.DUMMYFUNCTION("""COMPUTED_VALUE"""),86)</f>
        <v>86</v>
      </c>
      <c r="K16" s="6">
        <f ca="1">IFERROR(__xludf.DUMMYFUNCTION("""COMPUTED_VALUE"""),90)</f>
        <v>90</v>
      </c>
      <c r="L16" s="6">
        <f ca="1">IFERROR(__xludf.DUMMYFUNCTION("""COMPUTED_VALUE"""),89)</f>
        <v>89</v>
      </c>
      <c r="M16" s="6">
        <f ca="1">IFERROR(__xludf.DUMMYFUNCTION("""COMPUTED_VALUE"""),529)</f>
        <v>529</v>
      </c>
      <c r="N16" s="6">
        <f ca="1">IFERROR(__xludf.DUMMYFUNCTION("""COMPUTED_VALUE"""),264.5)</f>
        <v>264.5</v>
      </c>
      <c r="O16" s="2"/>
    </row>
    <row r="17" spans="1:15">
      <c r="A17" s="6" t="str">
        <f ca="1">IFERROR(__xludf.DUMMYFUNCTION("""COMPUTED_VALUE"""),"Kaire Taar")</f>
        <v>Kaire Taar</v>
      </c>
      <c r="B17" s="6" t="str">
        <f ca="1">IFERROR(__xludf.DUMMYFUNCTION("""COMPUTED_VALUE"""),"Harju")</f>
        <v>Harju</v>
      </c>
      <c r="C17" s="6" t="str">
        <f ca="1">IFERROR(__xludf.DUMMYFUNCTION("""COMPUTED_VALUE"""),"N")</f>
        <v>N</v>
      </c>
      <c r="D17" s="6" t="str">
        <f ca="1">IFERROR(__xludf.DUMMYFUNCTION("""COMPUTED_VALUE"""),"25m .22 30+30 H8")</f>
        <v>25m .22 30+30 H8</v>
      </c>
      <c r="E17" s="6" t="str">
        <f ca="1">IFERROR(__xludf.DUMMYFUNCTION("""COMPUTED_VALUE"""),"Võistkond")</f>
        <v>Võistkond</v>
      </c>
      <c r="F17" s="6" t="str">
        <f ca="1">IFERROR(__xludf.DUMMYFUNCTION("""COMPUTED_VALUE"""),"10.09.23")</f>
        <v>10.09.23</v>
      </c>
      <c r="G17" s="6">
        <f ca="1">IFERROR(__xludf.DUMMYFUNCTION("""COMPUTED_VALUE"""),86)</f>
        <v>86</v>
      </c>
      <c r="H17" s="6">
        <f ca="1">IFERROR(__xludf.DUMMYFUNCTION("""COMPUTED_VALUE"""),91)</f>
        <v>91</v>
      </c>
      <c r="I17" s="6">
        <f ca="1">IFERROR(__xludf.DUMMYFUNCTION("""COMPUTED_VALUE"""),92)</f>
        <v>92</v>
      </c>
      <c r="J17" s="6">
        <f ca="1">IFERROR(__xludf.DUMMYFUNCTION("""COMPUTED_VALUE"""),79)</f>
        <v>79</v>
      </c>
      <c r="K17" s="6">
        <f ca="1">IFERROR(__xludf.DUMMYFUNCTION("""COMPUTED_VALUE"""),91)</f>
        <v>91</v>
      </c>
      <c r="L17" s="6">
        <f ca="1">IFERROR(__xludf.DUMMYFUNCTION("""COMPUTED_VALUE"""),81)</f>
        <v>81</v>
      </c>
      <c r="M17" s="6">
        <f ca="1">IFERROR(__xludf.DUMMYFUNCTION("""COMPUTED_VALUE"""),520)</f>
        <v>520</v>
      </c>
      <c r="N17" s="6">
        <f ca="1">IFERROR(__xludf.DUMMYFUNCTION("""COMPUTED_VALUE"""),260)</f>
        <v>260</v>
      </c>
      <c r="O17" s="2"/>
    </row>
    <row r="18" spans="1:15">
      <c r="A18" s="6" t="str">
        <f ca="1">IFERROR(__xludf.DUMMYFUNCTION("""COMPUTED_VALUE"""),"Indrek Hunt")</f>
        <v>Indrek Hunt</v>
      </c>
      <c r="B18" s="6" t="str">
        <f ca="1">IFERROR(__xludf.DUMMYFUNCTION("""COMPUTED_VALUE"""),"Võrumaa")</f>
        <v>Võrumaa</v>
      </c>
      <c r="C18" s="6" t="str">
        <f ca="1">IFERROR(__xludf.DUMMYFUNCTION("""COMPUTED_VALUE"""),"M")</f>
        <v>M</v>
      </c>
      <c r="D18" s="6" t="str">
        <f ca="1">IFERROR(__xludf.DUMMYFUNCTION("""COMPUTED_VALUE"""),"25m .22 30+30 H8")</f>
        <v>25m .22 30+30 H8</v>
      </c>
      <c r="E18" s="6" t="str">
        <f ca="1">IFERROR(__xludf.DUMMYFUNCTION("""COMPUTED_VALUE"""),"Võistkond")</f>
        <v>Võistkond</v>
      </c>
      <c r="F18" s="6" t="str">
        <f ca="1">IFERROR(__xludf.DUMMYFUNCTION("""COMPUTED_VALUE"""),"10.09.23")</f>
        <v>10.09.23</v>
      </c>
      <c r="G18" s="6">
        <f ca="1">IFERROR(__xludf.DUMMYFUNCTION("""COMPUTED_VALUE"""),79)</f>
        <v>79</v>
      </c>
      <c r="H18" s="6">
        <f ca="1">IFERROR(__xludf.DUMMYFUNCTION("""COMPUTED_VALUE"""),89)</f>
        <v>89</v>
      </c>
      <c r="I18" s="6">
        <f ca="1">IFERROR(__xludf.DUMMYFUNCTION("""COMPUTED_VALUE"""),84)</f>
        <v>84</v>
      </c>
      <c r="J18" s="6">
        <f ca="1">IFERROR(__xludf.DUMMYFUNCTION("""COMPUTED_VALUE"""),71)</f>
        <v>71</v>
      </c>
      <c r="K18" s="6">
        <f ca="1">IFERROR(__xludf.DUMMYFUNCTION("""COMPUTED_VALUE"""),93)</f>
        <v>93</v>
      </c>
      <c r="L18" s="6">
        <f ca="1">IFERROR(__xludf.DUMMYFUNCTION("""COMPUTED_VALUE"""),89)</f>
        <v>89</v>
      </c>
      <c r="M18" s="6">
        <f ca="1">IFERROR(__xludf.DUMMYFUNCTION("""COMPUTED_VALUE"""),505)</f>
        <v>505</v>
      </c>
      <c r="N18" s="6">
        <f ca="1">IFERROR(__xludf.DUMMYFUNCTION("""COMPUTED_VALUE"""),252.5)</f>
        <v>252.5</v>
      </c>
      <c r="O18" s="2"/>
    </row>
    <row r="19" spans="1:15">
      <c r="A19" s="6" t="str">
        <f ca="1">IFERROR(__xludf.DUMMYFUNCTION("""COMPUTED_VALUE"""),"Lisell Väljak")</f>
        <v>Lisell Väljak</v>
      </c>
      <c r="B19" s="6" t="str">
        <f ca="1">IFERROR(__xludf.DUMMYFUNCTION("""COMPUTED_VALUE"""),"Tartu")</f>
        <v>Tartu</v>
      </c>
      <c r="C19" s="6" t="str">
        <f ca="1">IFERROR(__xludf.DUMMYFUNCTION("""COMPUTED_VALUE"""),"NJ")</f>
        <v>NJ</v>
      </c>
      <c r="D19" s="6" t="str">
        <f ca="1">IFERROR(__xludf.DUMMYFUNCTION("""COMPUTED_VALUE"""),"25m .22 30+30 H8")</f>
        <v>25m .22 30+30 H8</v>
      </c>
      <c r="E19" s="6" t="str">
        <f ca="1">IFERROR(__xludf.DUMMYFUNCTION("""COMPUTED_VALUE"""),"Võistkond")</f>
        <v>Võistkond</v>
      </c>
      <c r="F19" s="6" t="str">
        <f ca="1">IFERROR(__xludf.DUMMYFUNCTION("""COMPUTED_VALUE"""),"10.09.23")</f>
        <v>10.09.23</v>
      </c>
      <c r="G19" s="6">
        <f ca="1">IFERROR(__xludf.DUMMYFUNCTION("""COMPUTED_VALUE"""),84)</f>
        <v>84</v>
      </c>
      <c r="H19" s="6">
        <f ca="1">IFERROR(__xludf.DUMMYFUNCTION("""COMPUTED_VALUE"""),82)</f>
        <v>82</v>
      </c>
      <c r="I19" s="6">
        <f ca="1">IFERROR(__xludf.DUMMYFUNCTION("""COMPUTED_VALUE"""),94)</f>
        <v>94</v>
      </c>
      <c r="J19" s="6">
        <f ca="1">IFERROR(__xludf.DUMMYFUNCTION("""COMPUTED_VALUE"""),71)</f>
        <v>71</v>
      </c>
      <c r="K19" s="6">
        <f ca="1">IFERROR(__xludf.DUMMYFUNCTION("""COMPUTED_VALUE"""),77)</f>
        <v>77</v>
      </c>
      <c r="L19" s="6">
        <f ca="1">IFERROR(__xludf.DUMMYFUNCTION("""COMPUTED_VALUE"""),90)</f>
        <v>90</v>
      </c>
      <c r="M19" s="6">
        <f ca="1">IFERROR(__xludf.DUMMYFUNCTION("""COMPUTED_VALUE"""),498)</f>
        <v>498</v>
      </c>
      <c r="N19" s="6">
        <f ca="1">IFERROR(__xludf.DUMMYFUNCTION("""COMPUTED_VALUE"""),249)</f>
        <v>249</v>
      </c>
      <c r="O19" s="2"/>
    </row>
    <row r="20" spans="1:15">
      <c r="A20" s="6" t="str">
        <f ca="1">IFERROR(__xludf.DUMMYFUNCTION("""COMPUTED_VALUE"""),"Henri Söönurm")</f>
        <v>Henri Söönurm</v>
      </c>
      <c r="B20" s="6" t="str">
        <f ca="1">IFERROR(__xludf.DUMMYFUNCTION("""COMPUTED_VALUE"""),"Rapla")</f>
        <v>Rapla</v>
      </c>
      <c r="C20" s="6" t="str">
        <f ca="1">IFERROR(__xludf.DUMMYFUNCTION("""COMPUTED_VALUE"""),"M")</f>
        <v>M</v>
      </c>
      <c r="D20" s="6" t="str">
        <f ca="1">IFERROR(__xludf.DUMMYFUNCTION("""COMPUTED_VALUE"""),"25m .22 30+30 H8")</f>
        <v>25m .22 30+30 H8</v>
      </c>
      <c r="E20" s="6" t="str">
        <f ca="1">IFERROR(__xludf.DUMMYFUNCTION("""COMPUTED_VALUE"""),"Võistkond")</f>
        <v>Võistkond</v>
      </c>
      <c r="F20" s="6" t="str">
        <f ca="1">IFERROR(__xludf.DUMMYFUNCTION("""COMPUTED_VALUE"""),"10.09.23")</f>
        <v>10.09.23</v>
      </c>
      <c r="G20" s="6">
        <f ca="1">IFERROR(__xludf.DUMMYFUNCTION("""COMPUTED_VALUE"""),89)</f>
        <v>89</v>
      </c>
      <c r="H20" s="6">
        <f ca="1">IFERROR(__xludf.DUMMYFUNCTION("""COMPUTED_VALUE"""),88)</f>
        <v>88</v>
      </c>
      <c r="I20" s="6">
        <f ca="1">IFERROR(__xludf.DUMMYFUNCTION("""COMPUTED_VALUE"""),81)</f>
        <v>81</v>
      </c>
      <c r="J20" s="6">
        <f ca="1">IFERROR(__xludf.DUMMYFUNCTION("""COMPUTED_VALUE"""),88)</f>
        <v>88</v>
      </c>
      <c r="K20" s="6">
        <f ca="1">IFERROR(__xludf.DUMMYFUNCTION("""COMPUTED_VALUE"""),77)</f>
        <v>77</v>
      </c>
      <c r="L20" s="6">
        <f ca="1">IFERROR(__xludf.DUMMYFUNCTION("""COMPUTED_VALUE"""),66)</f>
        <v>66</v>
      </c>
      <c r="M20" s="6">
        <f ca="1">IFERROR(__xludf.DUMMYFUNCTION("""COMPUTED_VALUE"""),489)</f>
        <v>489</v>
      </c>
      <c r="N20" s="6">
        <f ca="1">IFERROR(__xludf.DUMMYFUNCTION("""COMPUTED_VALUE"""),244.5)</f>
        <v>244.5</v>
      </c>
      <c r="O20" s="2"/>
    </row>
    <row r="21" spans="1:15">
      <c r="A21" s="6" t="str">
        <f ca="1">IFERROR(__xludf.DUMMYFUNCTION("""COMPUTED_VALUE"""),"Ariko Astra")</f>
        <v>Ariko Astra</v>
      </c>
      <c r="B21" s="6" t="str">
        <f ca="1">IFERROR(__xludf.DUMMYFUNCTION("""COMPUTED_VALUE"""),"Lääne")</f>
        <v>Lääne</v>
      </c>
      <c r="C21" s="6" t="str">
        <f ca="1">IFERROR(__xludf.DUMMYFUNCTION("""COMPUTED_VALUE"""),"M")</f>
        <v>M</v>
      </c>
      <c r="D21" s="6" t="str">
        <f ca="1">IFERROR(__xludf.DUMMYFUNCTION("""COMPUTED_VALUE"""),"25m .22 30+30 H8")</f>
        <v>25m .22 30+30 H8</v>
      </c>
      <c r="E21" s="6" t="str">
        <f ca="1">IFERROR(__xludf.DUMMYFUNCTION("""COMPUTED_VALUE"""),"Võistkond")</f>
        <v>Võistkond</v>
      </c>
      <c r="F21" s="6" t="str">
        <f ca="1">IFERROR(__xludf.DUMMYFUNCTION("""COMPUTED_VALUE"""),"10.09.23")</f>
        <v>10.09.23</v>
      </c>
      <c r="G21" s="6">
        <f ca="1">IFERROR(__xludf.DUMMYFUNCTION("""COMPUTED_VALUE"""),84)</f>
        <v>84</v>
      </c>
      <c r="H21" s="6">
        <f ca="1">IFERROR(__xludf.DUMMYFUNCTION("""COMPUTED_VALUE"""),86)</f>
        <v>86</v>
      </c>
      <c r="I21" s="6">
        <f ca="1">IFERROR(__xludf.DUMMYFUNCTION("""COMPUTED_VALUE"""),87)</f>
        <v>87</v>
      </c>
      <c r="J21" s="6">
        <f ca="1">IFERROR(__xludf.DUMMYFUNCTION("""COMPUTED_VALUE"""),70)</f>
        <v>70</v>
      </c>
      <c r="K21" s="6">
        <f ca="1">IFERROR(__xludf.DUMMYFUNCTION("""COMPUTED_VALUE"""),77)</f>
        <v>77</v>
      </c>
      <c r="L21" s="6">
        <f ca="1">IFERROR(__xludf.DUMMYFUNCTION("""COMPUTED_VALUE"""),65)</f>
        <v>65</v>
      </c>
      <c r="M21" s="6">
        <f ca="1">IFERROR(__xludf.DUMMYFUNCTION("""COMPUTED_VALUE"""),469)</f>
        <v>469</v>
      </c>
      <c r="N21" s="6">
        <f ca="1">IFERROR(__xludf.DUMMYFUNCTION("""COMPUTED_VALUE"""),234.5)</f>
        <v>234.5</v>
      </c>
      <c r="O21" s="2"/>
    </row>
    <row r="22" spans="1:15">
      <c r="A22" s="6" t="str">
        <f ca="1">IFERROR(__xludf.DUMMYFUNCTION("""COMPUTED_VALUE"""),"Maive Tõemäe")</f>
        <v>Maive Tõemäe</v>
      </c>
      <c r="B22" s="6" t="str">
        <f ca="1">IFERROR(__xludf.DUMMYFUNCTION("""COMPUTED_VALUE"""),"Põlva")</f>
        <v>Põlva</v>
      </c>
      <c r="C22" s="6" t="str">
        <f ca="1">IFERROR(__xludf.DUMMYFUNCTION("""COMPUTED_VALUE"""),"N")</f>
        <v>N</v>
      </c>
      <c r="D22" s="6" t="str">
        <f ca="1">IFERROR(__xludf.DUMMYFUNCTION("""COMPUTED_VALUE"""),"25m .22 30+30 H8")</f>
        <v>25m .22 30+30 H8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IFERROR(__xludf.DUMMYFUNCTION("""COMPUTED_VALUE"""),75)</f>
        <v>75</v>
      </c>
      <c r="H22" s="6">
        <f ca="1">IFERROR(__xludf.DUMMYFUNCTION("""COMPUTED_VALUE"""),78)</f>
        <v>78</v>
      </c>
      <c r="I22" s="6">
        <f ca="1">IFERROR(__xludf.DUMMYFUNCTION("""COMPUTED_VALUE"""),83)</f>
        <v>83</v>
      </c>
      <c r="J22" s="6">
        <f ca="1">IFERROR(__xludf.DUMMYFUNCTION("""COMPUTED_VALUE"""),56)</f>
        <v>56</v>
      </c>
      <c r="K22" s="6">
        <f ca="1">IFERROR(__xludf.DUMMYFUNCTION("""COMPUTED_VALUE"""),65)</f>
        <v>65</v>
      </c>
      <c r="L22" s="6">
        <f ca="1">IFERROR(__xludf.DUMMYFUNCTION("""COMPUTED_VALUE"""),69)</f>
        <v>69</v>
      </c>
      <c r="M22" s="6">
        <f ca="1">IFERROR(__xludf.DUMMYFUNCTION("""COMPUTED_VALUE"""),426)</f>
        <v>426</v>
      </c>
      <c r="N22" s="6">
        <f ca="1">IFERROR(__xludf.DUMMYFUNCTION("""COMPUTED_VALUE"""),213)</f>
        <v>213</v>
      </c>
      <c r="O22" s="2"/>
    </row>
    <row r="23" spans="1:15">
      <c r="A23" s="6" t="str">
        <f ca="1">IFERROR(__xludf.DUMMYFUNCTION("""COMPUTED_VALUE"""),"Enriko Lutsar")</f>
        <v>Enriko Lutsar</v>
      </c>
      <c r="B23" s="6" t="str">
        <f ca="1">IFERROR(__xludf.DUMMYFUNCTION("""COMPUTED_VALUE"""),"Põlva")</f>
        <v>Põlva</v>
      </c>
      <c r="C23" s="6" t="str">
        <f ca="1">IFERROR(__xludf.DUMMYFUNCTION("""COMPUTED_VALUE"""),"M")</f>
        <v>M</v>
      </c>
      <c r="D23" s="6" t="str">
        <f ca="1">IFERROR(__xludf.DUMMYFUNCTION("""COMPUTED_VALUE"""),"25m .22 30+30 H8")</f>
        <v>25m .22 30+30 H8</v>
      </c>
      <c r="E23" s="6" t="str">
        <f ca="1">IFERROR(__xludf.DUMMYFUNCTION("""COMPUTED_VALUE"""),"Võistkond")</f>
        <v>Võistkond</v>
      </c>
      <c r="F23" s="6" t="str">
        <f ca="1">IFERROR(__xludf.DUMMYFUNCTION("""COMPUTED_VALUE"""),"10.09.23")</f>
        <v>10.09.23</v>
      </c>
      <c r="G23" s="6">
        <f ca="1">IFERROR(__xludf.DUMMYFUNCTION("""COMPUTED_VALUE"""),77)</f>
        <v>77</v>
      </c>
      <c r="H23" s="6">
        <f ca="1">IFERROR(__xludf.DUMMYFUNCTION("""COMPUTED_VALUE"""),77)</f>
        <v>77</v>
      </c>
      <c r="I23" s="6">
        <f ca="1">IFERROR(__xludf.DUMMYFUNCTION("""COMPUTED_VALUE"""),76)</f>
        <v>76</v>
      </c>
      <c r="J23" s="6">
        <f ca="1">IFERROR(__xludf.DUMMYFUNCTION("""COMPUTED_VALUE"""),61)</f>
        <v>61</v>
      </c>
      <c r="K23" s="6">
        <f ca="1">IFERROR(__xludf.DUMMYFUNCTION("""COMPUTED_VALUE"""),60)</f>
        <v>60</v>
      </c>
      <c r="L23" s="6">
        <f ca="1">IFERROR(__xludf.DUMMYFUNCTION("""COMPUTED_VALUE"""),51)</f>
        <v>51</v>
      </c>
      <c r="M23" s="6">
        <f ca="1">IFERROR(__xludf.DUMMYFUNCTION("""COMPUTED_VALUE"""),402)</f>
        <v>402</v>
      </c>
      <c r="N23" s="6">
        <f ca="1">IFERROR(__xludf.DUMMYFUNCTION("""COMPUTED_VALUE"""),201)</f>
        <v>201</v>
      </c>
      <c r="O23" s="2"/>
    </row>
    <row r="24" spans="1:15">
      <c r="A24" s="6" t="str">
        <f ca="1">IFERROR(__xludf.DUMMYFUNCTION("""COMPUTED_VALUE"""),"Ülar Jürviste")</f>
        <v>Ülar Jürviste</v>
      </c>
      <c r="B24" s="6" t="str">
        <f ca="1">IFERROR(__xludf.DUMMYFUNCTION("""COMPUTED_VALUE"""),"Saaremaa")</f>
        <v>Saaremaa</v>
      </c>
      <c r="C24" s="6" t="str">
        <f ca="1">IFERROR(__xludf.DUMMYFUNCTION("""COMPUTED_VALUE"""),"M")</f>
        <v>M</v>
      </c>
      <c r="D24" s="6" t="str">
        <f ca="1">IFERROR(__xludf.DUMMYFUNCTION("""COMPUTED_VALUE"""),"25m .22 30+30 H8")</f>
        <v>25m .22 30+30 H8</v>
      </c>
      <c r="E24" s="6" t="str">
        <f ca="1">IFERROR(__xludf.DUMMYFUNCTION("""COMPUTED_VALUE"""),"Võistkond")</f>
        <v>Võistkond</v>
      </c>
      <c r="F24" s="6" t="str">
        <f ca="1">IFERROR(__xludf.DUMMYFUNCTION("""COMPUTED_VALUE"""),"09.09.23")</f>
        <v>09.09.23</v>
      </c>
      <c r="G24" s="6">
        <f ca="1">IFERROR(__xludf.DUMMYFUNCTION("""COMPUTED_VALUE"""),75)</f>
        <v>75</v>
      </c>
      <c r="H24" s="6">
        <f ca="1">IFERROR(__xludf.DUMMYFUNCTION("""COMPUTED_VALUE"""),86)</f>
        <v>86</v>
      </c>
      <c r="I24" s="6">
        <f ca="1">IFERROR(__xludf.DUMMYFUNCTION("""COMPUTED_VALUE"""),79)</f>
        <v>79</v>
      </c>
      <c r="J24" s="6">
        <f ca="1">IFERROR(__xludf.DUMMYFUNCTION("""COMPUTED_VALUE"""),54)</f>
        <v>54</v>
      </c>
      <c r="K24" s="6">
        <f ca="1">IFERROR(__xludf.DUMMYFUNCTION("""COMPUTED_VALUE"""),47)</f>
        <v>47</v>
      </c>
      <c r="L24" s="6">
        <f ca="1">IFERROR(__xludf.DUMMYFUNCTION("""COMPUTED_VALUE"""),56)</f>
        <v>56</v>
      </c>
      <c r="M24" s="6">
        <f ca="1">IFERROR(__xludf.DUMMYFUNCTION("""COMPUTED_VALUE"""),397)</f>
        <v>397</v>
      </c>
      <c r="N24" s="6">
        <f ca="1">IFERROR(__xludf.DUMMYFUNCTION("""COMPUTED_VALUE"""),198.5)</f>
        <v>198.5</v>
      </c>
      <c r="O24" s="2"/>
    </row>
    <row r="25" spans="1:15">
      <c r="A25" s="6" t="str">
        <f ca="1">IFERROR(__xludf.DUMMYFUNCTION("""COMPUTED_VALUE"""),"Mari-Anne Meister")</f>
        <v>Mari-Anne Meister</v>
      </c>
      <c r="B25" s="6" t="str">
        <f ca="1">IFERROR(__xludf.DUMMYFUNCTION("""COMPUTED_VALUE"""),"KKÜ")</f>
        <v>KKÜ</v>
      </c>
      <c r="C25" s="6" t="str">
        <f ca="1">IFERROR(__xludf.DUMMYFUNCTION("""COMPUTED_VALUE"""),"N")</f>
        <v>N</v>
      </c>
      <c r="D25" s="6" t="str">
        <f ca="1">IFERROR(__xludf.DUMMYFUNCTION("""COMPUTED_VALUE"""),"25m .22 30+30 H8")</f>
        <v>25m .22 30+30 H8</v>
      </c>
      <c r="E25" s="6" t="str">
        <f ca="1">IFERROR(__xludf.DUMMYFUNCTION("""COMPUTED_VALUE"""),"Võistkond")</f>
        <v>Võistkond</v>
      </c>
      <c r="F25" s="6" t="str">
        <f ca="1">IFERROR(__xludf.DUMMYFUNCTION("""COMPUTED_VALUE"""),"09.09.23")</f>
        <v>09.09.23</v>
      </c>
      <c r="G25" s="6">
        <f ca="1">IFERROR(__xludf.DUMMYFUNCTION("""COMPUTED_VALUE"""),74)</f>
        <v>74</v>
      </c>
      <c r="H25" s="6">
        <f ca="1">IFERROR(__xludf.DUMMYFUNCTION("""COMPUTED_VALUE"""),81)</f>
        <v>81</v>
      </c>
      <c r="I25" s="6">
        <f ca="1">IFERROR(__xludf.DUMMYFUNCTION("""COMPUTED_VALUE"""),81)</f>
        <v>81</v>
      </c>
      <c r="J25" s="6">
        <f ca="1">IFERROR(__xludf.DUMMYFUNCTION("""COMPUTED_VALUE"""),21)</f>
        <v>21</v>
      </c>
      <c r="K25" s="6">
        <f ca="1">IFERROR(__xludf.DUMMYFUNCTION("""COMPUTED_VALUE"""),50)</f>
        <v>50</v>
      </c>
      <c r="L25" s="6">
        <f ca="1">IFERROR(__xludf.DUMMYFUNCTION("""COMPUTED_VALUE"""),48)</f>
        <v>48</v>
      </c>
      <c r="M25" s="6">
        <f ca="1">IFERROR(__xludf.DUMMYFUNCTION("""COMPUTED_VALUE"""),355)</f>
        <v>355</v>
      </c>
      <c r="N25" s="6">
        <f ca="1">IFERROR(__xludf.DUMMYFUNCTION("""COMPUTED_VALUE"""),177.5)</f>
        <v>177.5</v>
      </c>
      <c r="O25" s="2"/>
    </row>
    <row r="26" spans="1:15">
      <c r="A26" s="6" t="str">
        <f ca="1">IFERROR(__xludf.DUMMYFUNCTION("""COMPUTED_VALUE"""),"Inga Niit")</f>
        <v>Inga Niit</v>
      </c>
      <c r="B26" s="6" t="str">
        <f ca="1">IFERROR(__xludf.DUMMYFUNCTION("""COMPUTED_VALUE"""),"Võrumaa")</f>
        <v>Võrumaa</v>
      </c>
      <c r="C26" s="6" t="str">
        <f ca="1">IFERROR(__xludf.DUMMYFUNCTION("""COMPUTED_VALUE"""),"N")</f>
        <v>N</v>
      </c>
      <c r="D26" s="6" t="str">
        <f ca="1">IFERROR(__xludf.DUMMYFUNCTION("""COMPUTED_VALUE"""),"25m .22 30+30 H8")</f>
        <v>25m .22 30+30 H8</v>
      </c>
      <c r="E26" s="6" t="str">
        <f ca="1">IFERROR(__xludf.DUMMYFUNCTION("""COMPUTED_VALUE"""),"Võistkond")</f>
        <v>Võistkond</v>
      </c>
      <c r="F26" s="6" t="str">
        <f ca="1">IFERROR(__xludf.DUMMYFUNCTION("""COMPUTED_VALUE"""),"10.09.23")</f>
        <v>10.09.23</v>
      </c>
      <c r="G26" s="6">
        <f ca="1">IFERROR(__xludf.DUMMYFUNCTION("""COMPUTED_VALUE"""),66)</f>
        <v>66</v>
      </c>
      <c r="H26" s="6">
        <f ca="1">IFERROR(__xludf.DUMMYFUNCTION("""COMPUTED_VALUE"""),75)</f>
        <v>75</v>
      </c>
      <c r="I26" s="6">
        <f ca="1">IFERROR(__xludf.DUMMYFUNCTION("""COMPUTED_VALUE"""),72)</f>
        <v>72</v>
      </c>
      <c r="J26" s="6">
        <f ca="1">IFERROR(__xludf.DUMMYFUNCTION("""COMPUTED_VALUE"""),36)</f>
        <v>36</v>
      </c>
      <c r="K26" s="6">
        <f ca="1">IFERROR(__xludf.DUMMYFUNCTION("""COMPUTED_VALUE"""),29)</f>
        <v>29</v>
      </c>
      <c r="L26" s="6">
        <f ca="1">IFERROR(__xludf.DUMMYFUNCTION("""COMPUTED_VALUE"""),21)</f>
        <v>21</v>
      </c>
      <c r="M26" s="6">
        <f ca="1">IFERROR(__xludf.DUMMYFUNCTION("""COMPUTED_VALUE"""),299)</f>
        <v>299</v>
      </c>
      <c r="N26" s="6">
        <f ca="1">IFERROR(__xludf.DUMMYFUNCTION("""COMPUTED_VALUE"""),149.5)</f>
        <v>149.5</v>
      </c>
      <c r="O26" s="2"/>
    </row>
    <row r="27" spans="1:15">
      <c r="A27" s="6" t="str">
        <f ca="1">IFERROR(__xludf.DUMMYFUNCTION("""COMPUTED_VALUE"""),"Aleksandr Voronin")</f>
        <v>Aleksandr Voronin</v>
      </c>
      <c r="B27" s="6" t="str">
        <f ca="1">IFERROR(__xludf.DUMMYFUNCTION("""COMPUTED_VALUE"""),"Valgamaa")</f>
        <v>Valgamaa</v>
      </c>
      <c r="C27" s="6" t="str">
        <f ca="1">IFERROR(__xludf.DUMMYFUNCTION("""COMPUTED_VALUE"""),"M")</f>
        <v>M</v>
      </c>
      <c r="D27" s="6" t="str">
        <f ca="1">IFERROR(__xludf.DUMMYFUNCTION("""COMPUTED_VALUE"""),"25m .22 30+30 H8")</f>
        <v>25m .22 30+30 H8</v>
      </c>
      <c r="E27" s="6" t="str">
        <f ca="1">IFERROR(__xludf.DUMMYFUNCTION("""COMPUTED_VALUE"""),"Võistkond")</f>
        <v>Võistkond</v>
      </c>
      <c r="F27" s="6" t="str">
        <f ca="1">IFERROR(__xludf.DUMMYFUNCTION("""COMPUTED_VALUE"""),"09.09.23")</f>
        <v>09.09.23</v>
      </c>
      <c r="G27" s="6">
        <f ca="1">IFERROR(__xludf.DUMMYFUNCTION("""COMPUTED_VALUE"""),88)</f>
        <v>88</v>
      </c>
      <c r="H27" s="6">
        <f ca="1">IFERROR(__xludf.DUMMYFUNCTION("""COMPUTED_VALUE"""),96)</f>
        <v>96</v>
      </c>
      <c r="I27" s="6">
        <f ca="1">IFERROR(__xludf.DUMMYFUNCTION("""COMPUTED_VALUE"""),92)</f>
        <v>92</v>
      </c>
      <c r="J27" s="6"/>
      <c r="K27" s="6"/>
      <c r="L27" s="6"/>
      <c r="M27" s="6">
        <f ca="1">IFERROR(__xludf.DUMMYFUNCTION("""COMPUTED_VALUE"""),276)</f>
        <v>276</v>
      </c>
      <c r="N27" s="6">
        <f ca="1">IFERROR(__xludf.DUMMYFUNCTION("""COMPUTED_VALUE"""),138)</f>
        <v>138</v>
      </c>
      <c r="O27" s="2"/>
    </row>
    <row r="28" spans="1:15">
      <c r="A28" s="6" t="str">
        <f ca="1">IFERROR(__xludf.DUMMYFUNCTION("""COMPUTED_VALUE"""),"Toomas Juksaar")</f>
        <v>Toomas Juksaar</v>
      </c>
      <c r="B28" s="6" t="str">
        <f ca="1">IFERROR(__xludf.DUMMYFUNCTION("""COMPUTED_VALUE"""),"Pärnumaa")</f>
        <v>Pärnumaa</v>
      </c>
      <c r="C28" s="6" t="str">
        <f ca="1">IFERROR(__xludf.DUMMYFUNCTION("""COMPUTED_VALUE"""),"M")</f>
        <v>M</v>
      </c>
      <c r="D28" s="6" t="str">
        <f ca="1">IFERROR(__xludf.DUMMYFUNCTION("""COMPUTED_VALUE"""),"25m .22 30+30 H8")</f>
        <v>25m .22 30+30 H8</v>
      </c>
      <c r="E28" s="6" t="str">
        <f ca="1">IFERROR(__xludf.DUMMYFUNCTION("""COMPUTED_VALUE"""),"Võistkond")</f>
        <v>Võistkond</v>
      </c>
      <c r="F28" s="6" t="str">
        <f ca="1">IFERROR(__xludf.DUMMYFUNCTION("""COMPUTED_VALUE"""),"09.09.23")</f>
        <v>09.09.23</v>
      </c>
      <c r="G28" s="6">
        <f ca="1">IFERROR(__xludf.DUMMYFUNCTION("""COMPUTED_VALUE"""),0)</f>
        <v>0</v>
      </c>
      <c r="H28" s="6">
        <f ca="1">IFERROR(__xludf.DUMMYFUNCTION("""COMPUTED_VALUE"""),0)</f>
        <v>0</v>
      </c>
      <c r="I28" s="6">
        <f ca="1">IFERROR(__xludf.DUMMYFUNCTION("""COMPUTED_VALUE"""),0)</f>
        <v>0</v>
      </c>
      <c r="J28" s="6">
        <f ca="1">IFERROR(__xludf.DUMMYFUNCTION("""COMPUTED_VALUE"""),92)</f>
        <v>92</v>
      </c>
      <c r="K28" s="6">
        <f ca="1">IFERROR(__xludf.DUMMYFUNCTION("""COMPUTED_VALUE"""),93)</f>
        <v>93</v>
      </c>
      <c r="L28" s="6">
        <f ca="1">IFERROR(__xludf.DUMMYFUNCTION("""COMPUTED_VALUE"""),83)</f>
        <v>83</v>
      </c>
      <c r="M28" s="6">
        <f ca="1">IFERROR(__xludf.DUMMYFUNCTION("""COMPUTED_VALUE"""),268)</f>
        <v>268</v>
      </c>
      <c r="N28" s="6">
        <f ca="1">IFERROR(__xludf.DUMMYFUNCTION("""COMPUTED_VALUE"""),134)</f>
        <v>134</v>
      </c>
      <c r="O28" s="2"/>
    </row>
    <row r="29" spans="1:15">
      <c r="A29" s="6" t="str">
        <f ca="1">IFERROR(__xludf.DUMMYFUNCTION("""COMPUTED_VALUE"""),"Tiia Künnap")</f>
        <v>Tiia Künnap</v>
      </c>
      <c r="B29" s="6" t="str">
        <f ca="1">IFERROR(__xludf.DUMMYFUNCTION("""COMPUTED_VALUE"""),"Pärnumaa")</f>
        <v>Pärnumaa</v>
      </c>
      <c r="C29" s="6" t="str">
        <f ca="1">IFERROR(__xludf.DUMMYFUNCTION("""COMPUTED_VALUE"""),"N")</f>
        <v>N</v>
      </c>
      <c r="D29" s="6" t="str">
        <f ca="1">IFERROR(__xludf.DUMMYFUNCTION("""COMPUTED_VALUE"""),"25m .22 30+30 H8")</f>
        <v>25m .22 30+30 H8</v>
      </c>
      <c r="E29" s="6" t="str">
        <f ca="1">IFERROR(__xludf.DUMMYFUNCTION("""COMPUTED_VALUE"""),"Võistkond")</f>
        <v>Võistkond</v>
      </c>
      <c r="F29" s="6" t="str">
        <f ca="1">IFERROR(__xludf.DUMMYFUNCTION("""COMPUTED_VALUE"""),"09.09.23")</f>
        <v>09.09.23</v>
      </c>
      <c r="G29" s="6">
        <f ca="1">IFERROR(__xludf.DUMMYFUNCTION("""COMPUTED_VALUE"""),0)</f>
        <v>0</v>
      </c>
      <c r="H29" s="6">
        <f ca="1">IFERROR(__xludf.DUMMYFUNCTION("""COMPUTED_VALUE"""),0)</f>
        <v>0</v>
      </c>
      <c r="I29" s="6">
        <f ca="1">IFERROR(__xludf.DUMMYFUNCTION("""COMPUTED_VALUE"""),0)</f>
        <v>0</v>
      </c>
      <c r="J29" s="6">
        <f ca="1">IFERROR(__xludf.DUMMYFUNCTION("""COMPUTED_VALUE"""),50)</f>
        <v>50</v>
      </c>
      <c r="K29" s="6">
        <f ca="1">IFERROR(__xludf.DUMMYFUNCTION("""COMPUTED_VALUE"""),65)</f>
        <v>65</v>
      </c>
      <c r="L29" s="6">
        <f ca="1">IFERROR(__xludf.DUMMYFUNCTION("""COMPUTED_VALUE"""),75)</f>
        <v>75</v>
      </c>
      <c r="M29" s="6">
        <f ca="1">IFERROR(__xludf.DUMMYFUNCTION("""COMPUTED_VALUE"""),190)</f>
        <v>190</v>
      </c>
      <c r="N29" s="6">
        <f ca="1">IFERROR(__xludf.DUMMYFUNCTION("""COMPUTED_VALUE"""),95)</f>
        <v>95</v>
      </c>
      <c r="O29" s="2"/>
    </row>
    <row r="30" spans="1:15">
      <c r="O30" s="2"/>
    </row>
    <row r="32" spans="1:15">
      <c r="O32" s="2"/>
    </row>
    <row r="33" spans="1:15">
      <c r="O33" s="2"/>
    </row>
    <row r="34" spans="1:15">
      <c r="O34" s="2"/>
    </row>
    <row r="35" spans="1:15">
      <c r="O35" s="2"/>
    </row>
    <row r="36" spans="1:15">
      <c r="O36" s="2"/>
    </row>
    <row r="37" spans="1:15">
      <c r="A37" s="14"/>
      <c r="O37" s="2"/>
    </row>
    <row r="38" spans="1:15">
      <c r="N38" s="2"/>
      <c r="O38" s="2"/>
    </row>
    <row r="39" spans="1:15">
      <c r="N39" s="2"/>
      <c r="O39" s="2"/>
    </row>
    <row r="40" spans="1:15">
      <c r="N40" s="2"/>
      <c r="O40" s="2"/>
    </row>
    <row r="41" spans="1:15">
      <c r="N41" s="2"/>
      <c r="O41" s="2"/>
    </row>
    <row r="42" spans="1:15">
      <c r="O42" s="2"/>
    </row>
    <row r="43" spans="1:15">
      <c r="O43" s="2"/>
    </row>
    <row r="44" spans="1:15">
      <c r="O44" s="2"/>
    </row>
    <row r="45" spans="1:15">
      <c r="O45" s="2"/>
    </row>
    <row r="46" spans="1:15">
      <c r="O46" s="2"/>
    </row>
    <row r="47" spans="1:15">
      <c r="O47" s="2"/>
    </row>
    <row r="48" spans="1:15">
      <c r="O48" s="2"/>
    </row>
    <row r="49" spans="15:15">
      <c r="O49" s="2"/>
    </row>
    <row r="50" spans="15:15">
      <c r="O50" s="2"/>
    </row>
    <row r="51" spans="15:15">
      <c r="O51" s="2"/>
    </row>
    <row r="52" spans="15:15">
      <c r="O52" s="2"/>
    </row>
    <row r="53" spans="15:15">
      <c r="O53" s="2"/>
    </row>
    <row r="54" spans="15:15">
      <c r="O54" s="2"/>
    </row>
    <row r="55" spans="15:15">
      <c r="O55" s="2"/>
    </row>
    <row r="56" spans="15:15">
      <c r="O56" s="2"/>
    </row>
    <row r="57" spans="15:15">
      <c r="O57" s="2"/>
    </row>
    <row r="58" spans="15:15">
      <c r="O58" s="2"/>
    </row>
    <row r="59" spans="15:15">
      <c r="O59" s="2"/>
    </row>
    <row r="60" spans="15:15">
      <c r="O60" s="2"/>
    </row>
    <row r="61" spans="15:15">
      <c r="O61" s="2"/>
    </row>
    <row r="62" spans="15:15">
      <c r="O62" s="2"/>
    </row>
    <row r="63" spans="15:15">
      <c r="O63" s="2"/>
    </row>
    <row r="64" spans="15:15">
      <c r="O64" s="2"/>
    </row>
    <row r="65" spans="15:15">
      <c r="O65" s="2"/>
    </row>
    <row r="66" spans="15:15">
      <c r="O66" s="2"/>
    </row>
    <row r="67" spans="15:15">
      <c r="O67" s="2"/>
    </row>
    <row r="68" spans="15:15">
      <c r="O68" s="2"/>
    </row>
    <row r="69" spans="15:15">
      <c r="O69" s="2"/>
    </row>
    <row r="70" spans="15:15">
      <c r="O70" s="2"/>
    </row>
    <row r="71" spans="15:15">
      <c r="O71" s="2"/>
    </row>
    <row r="72" spans="15:15">
      <c r="O72" s="2"/>
    </row>
    <row r="73" spans="15:15">
      <c r="O73" s="2"/>
    </row>
    <row r="74" spans="15:15">
      <c r="O74" s="2"/>
    </row>
    <row r="75" spans="15:15">
      <c r="O75" s="2"/>
    </row>
    <row r="76" spans="15:15">
      <c r="O76" s="2"/>
    </row>
    <row r="77" spans="15:15">
      <c r="O77" s="2"/>
    </row>
    <row r="78" spans="15:15">
      <c r="O78" s="2"/>
    </row>
    <row r="79" spans="15:15">
      <c r="O79" s="2"/>
    </row>
    <row r="80" spans="15:15">
      <c r="O80" s="2"/>
    </row>
    <row r="81" spans="15:15">
      <c r="O81" s="2"/>
    </row>
    <row r="82" spans="15:15">
      <c r="O82" s="2"/>
    </row>
    <row r="83" spans="15:15">
      <c r="O83" s="2"/>
    </row>
    <row r="84" spans="15:15">
      <c r="O84" s="2"/>
    </row>
    <row r="85" spans="15:15">
      <c r="O85" s="2"/>
    </row>
    <row r="86" spans="15:15">
      <c r="O86" s="2"/>
    </row>
    <row r="87" spans="15:15">
      <c r="O87" s="2"/>
    </row>
    <row r="88" spans="15:15">
      <c r="O88" s="2"/>
    </row>
    <row r="89" spans="15:15">
      <c r="O89" s="2"/>
    </row>
    <row r="90" spans="15:15">
      <c r="O90" s="2"/>
    </row>
    <row r="91" spans="15:15">
      <c r="O91" s="2"/>
    </row>
    <row r="92" spans="15:15">
      <c r="O92" s="2"/>
    </row>
    <row r="93" spans="15:15">
      <c r="O93" s="2"/>
    </row>
    <row r="94" spans="15:15">
      <c r="O94" s="2"/>
    </row>
    <row r="95" spans="15:15">
      <c r="O95" s="2"/>
    </row>
    <row r="96" spans="15:15">
      <c r="O96" s="2"/>
    </row>
    <row r="97" spans="15:15">
      <c r="O97" s="2"/>
    </row>
    <row r="98" spans="15:15">
      <c r="O98" s="2"/>
    </row>
    <row r="99" spans="15:15">
      <c r="O99" s="2"/>
    </row>
    <row r="100" spans="15:15">
      <c r="O100" s="2"/>
    </row>
    <row r="101" spans="15:15">
      <c r="O101" s="2"/>
    </row>
    <row r="102" spans="15:15">
      <c r="O102" s="2"/>
    </row>
    <row r="103" spans="15:15">
      <c r="O103" s="2"/>
    </row>
    <row r="104" spans="15:15">
      <c r="O104" s="2"/>
    </row>
    <row r="105" spans="15:15">
      <c r="O105" s="2"/>
    </row>
    <row r="106" spans="15:15">
      <c r="O106" s="2"/>
    </row>
    <row r="107" spans="15:15">
      <c r="O107" s="2"/>
    </row>
    <row r="108" spans="15:15">
      <c r="O108" s="2"/>
    </row>
    <row r="109" spans="15:15">
      <c r="O109" s="2"/>
    </row>
    <row r="110" spans="15:15">
      <c r="O110" s="2"/>
    </row>
    <row r="111" spans="15:15">
      <c r="O111" s="2"/>
    </row>
    <row r="112" spans="15:15">
      <c r="O112" s="2"/>
    </row>
    <row r="113" spans="15:15">
      <c r="O113" s="2"/>
    </row>
    <row r="114" spans="15:15">
      <c r="O114" s="2"/>
    </row>
    <row r="115" spans="15:15">
      <c r="O115" s="2"/>
    </row>
    <row r="116" spans="15:15">
      <c r="O116" s="2"/>
    </row>
    <row r="117" spans="15:15">
      <c r="O117" s="2"/>
    </row>
    <row r="118" spans="15:15">
      <c r="O118" s="2"/>
    </row>
    <row r="119" spans="15:15">
      <c r="O119" s="2"/>
    </row>
    <row r="120" spans="15:15">
      <c r="O120" s="2"/>
    </row>
    <row r="121" spans="15:15">
      <c r="O121" s="2"/>
    </row>
    <row r="122" spans="15:15">
      <c r="O122" s="2"/>
    </row>
    <row r="123" spans="15:15">
      <c r="O123" s="2"/>
    </row>
    <row r="124" spans="15:15">
      <c r="O124" s="2"/>
    </row>
    <row r="125" spans="15:15">
      <c r="O125" s="2"/>
    </row>
    <row r="126" spans="15:15">
      <c r="O126" s="2"/>
    </row>
    <row r="127" spans="15:15">
      <c r="O127" s="2"/>
    </row>
    <row r="128" spans="15:15">
      <c r="O128" s="2"/>
    </row>
    <row r="129" spans="15:15">
      <c r="O129" s="2"/>
    </row>
    <row r="130" spans="15:15">
      <c r="O130" s="2"/>
    </row>
    <row r="131" spans="15:15">
      <c r="O131" s="2"/>
    </row>
    <row r="132" spans="15:15">
      <c r="O132" s="2"/>
    </row>
    <row r="133" spans="15:15">
      <c r="O133" s="2"/>
    </row>
    <row r="134" spans="15:15">
      <c r="O134" s="2"/>
    </row>
    <row r="135" spans="15:15">
      <c r="O135" s="2"/>
    </row>
    <row r="136" spans="15:15">
      <c r="O136" s="2"/>
    </row>
    <row r="137" spans="15:15">
      <c r="O137" s="2"/>
    </row>
    <row r="138" spans="15:15">
      <c r="O138" s="2"/>
    </row>
    <row r="139" spans="15:15">
      <c r="O139" s="2"/>
    </row>
    <row r="140" spans="15:15">
      <c r="O140" s="2"/>
    </row>
    <row r="141" spans="15:15">
      <c r="O141" s="2"/>
    </row>
    <row r="142" spans="15:15">
      <c r="O142" s="2"/>
    </row>
    <row r="143" spans="15:15">
      <c r="O143" s="2"/>
    </row>
    <row r="144" spans="15:15">
      <c r="O144" s="2"/>
    </row>
    <row r="145" spans="15:15">
      <c r="O145" s="2"/>
    </row>
    <row r="146" spans="15:15">
      <c r="O146" s="2"/>
    </row>
    <row r="147" spans="15:15">
      <c r="O147" s="2"/>
    </row>
    <row r="148" spans="15:15">
      <c r="O148" s="2"/>
    </row>
    <row r="149" spans="15:15">
      <c r="O149" s="2"/>
    </row>
    <row r="150" spans="15:15">
      <c r="O150" s="2"/>
    </row>
    <row r="151" spans="15:15">
      <c r="O151" s="2"/>
    </row>
    <row r="152" spans="15:15">
      <c r="O152" s="2"/>
    </row>
    <row r="153" spans="15:15">
      <c r="O153" s="2"/>
    </row>
    <row r="154" spans="15:15">
      <c r="O154" s="2"/>
    </row>
    <row r="155" spans="15:15">
      <c r="O155" s="2"/>
    </row>
    <row r="156" spans="15:15">
      <c r="O156" s="2"/>
    </row>
    <row r="157" spans="15:15">
      <c r="O157" s="2"/>
    </row>
    <row r="158" spans="15:15">
      <c r="O158" s="2"/>
    </row>
    <row r="159" spans="15:15">
      <c r="O159" s="2"/>
    </row>
    <row r="160" spans="15:15">
      <c r="O160" s="2"/>
    </row>
    <row r="161" spans="15:15">
      <c r="O161" s="2"/>
    </row>
    <row r="162" spans="15:15">
      <c r="O162" s="2"/>
    </row>
    <row r="163" spans="15:15">
      <c r="O163" s="2"/>
    </row>
    <row r="164" spans="15:15">
      <c r="O164" s="2"/>
    </row>
    <row r="165" spans="15:15">
      <c r="O165" s="2"/>
    </row>
    <row r="166" spans="15:15">
      <c r="O166" s="2"/>
    </row>
    <row r="167" spans="15:15">
      <c r="O167" s="2"/>
    </row>
    <row r="168" spans="15:15">
      <c r="O168" s="2"/>
    </row>
    <row r="169" spans="15:15">
      <c r="O169" s="2"/>
    </row>
    <row r="170" spans="15:15">
      <c r="O170" s="2"/>
    </row>
    <row r="171" spans="15:15">
      <c r="O171" s="2"/>
    </row>
    <row r="172" spans="15:15">
      <c r="O172" s="2"/>
    </row>
    <row r="173" spans="15:15">
      <c r="O173" s="2"/>
    </row>
    <row r="174" spans="15:15">
      <c r="O174" s="2"/>
    </row>
    <row r="175" spans="15:15">
      <c r="O175" s="2"/>
    </row>
    <row r="176" spans="15:15">
      <c r="O176" s="2"/>
    </row>
    <row r="177" spans="15:15">
      <c r="O177" s="2"/>
    </row>
    <row r="178" spans="15:15">
      <c r="O178" s="2"/>
    </row>
    <row r="179" spans="15:15">
      <c r="O179" s="2"/>
    </row>
    <row r="180" spans="15:15">
      <c r="O180" s="2"/>
    </row>
    <row r="181" spans="15:15">
      <c r="O181" s="2"/>
    </row>
    <row r="182" spans="15:15">
      <c r="O182" s="2"/>
    </row>
    <row r="183" spans="15:15">
      <c r="O183" s="2"/>
    </row>
    <row r="184" spans="15:15">
      <c r="O184" s="2"/>
    </row>
    <row r="185" spans="15:15">
      <c r="O185" s="2"/>
    </row>
    <row r="186" spans="15:15">
      <c r="O186" s="2"/>
    </row>
    <row r="187" spans="15:15">
      <c r="O187" s="2"/>
    </row>
    <row r="188" spans="15:15">
      <c r="O188" s="2"/>
    </row>
    <row r="189" spans="15:15">
      <c r="O189" s="2"/>
    </row>
    <row r="190" spans="15:15">
      <c r="O190" s="2"/>
    </row>
    <row r="191" spans="15:15">
      <c r="O191" s="2"/>
    </row>
    <row r="192" spans="15:15">
      <c r="O192" s="2"/>
    </row>
    <row r="193" spans="15:15">
      <c r="O193" s="2"/>
    </row>
    <row r="194" spans="15:15">
      <c r="O194" s="2"/>
    </row>
    <row r="195" spans="15:15">
      <c r="O195" s="2"/>
    </row>
    <row r="196" spans="15:15">
      <c r="O196" s="2"/>
    </row>
    <row r="197" spans="15:15">
      <c r="O197" s="2"/>
    </row>
    <row r="198" spans="15:15">
      <c r="O198" s="2"/>
    </row>
    <row r="199" spans="15:15">
      <c r="O199" s="2"/>
    </row>
    <row r="200" spans="15:15">
      <c r="O200" s="2"/>
    </row>
    <row r="201" spans="15:15">
      <c r="O201" s="2"/>
    </row>
    <row r="202" spans="15:15">
      <c r="O202" s="2"/>
    </row>
    <row r="203" spans="15:15">
      <c r="O203" s="2"/>
    </row>
    <row r="204" spans="15:15">
      <c r="O204" s="2"/>
    </row>
    <row r="205" spans="15:15">
      <c r="O205" s="2"/>
    </row>
    <row r="206" spans="15:15">
      <c r="O206" s="2"/>
    </row>
    <row r="207" spans="15:15">
      <c r="O207" s="2"/>
    </row>
    <row r="208" spans="15:15">
      <c r="O208" s="2"/>
    </row>
    <row r="209" spans="15:15">
      <c r="O209" s="2"/>
    </row>
    <row r="210" spans="15:15">
      <c r="O210" s="2"/>
    </row>
    <row r="211" spans="15:15">
      <c r="O211" s="2"/>
    </row>
    <row r="212" spans="15:15">
      <c r="O212" s="2"/>
    </row>
    <row r="213" spans="15:15">
      <c r="O213" s="2"/>
    </row>
    <row r="214" spans="15:15">
      <c r="O214" s="2"/>
    </row>
    <row r="215" spans="15:15">
      <c r="O215" s="2"/>
    </row>
    <row r="216" spans="15:15">
      <c r="O216" s="2"/>
    </row>
    <row r="217" spans="15:15">
      <c r="O217" s="2"/>
    </row>
    <row r="218" spans="15:15">
      <c r="O218" s="2"/>
    </row>
    <row r="219" spans="15:15">
      <c r="O219" s="2"/>
    </row>
    <row r="220" spans="15:15">
      <c r="O220" s="2"/>
    </row>
    <row r="221" spans="15:15">
      <c r="O221" s="2"/>
    </row>
    <row r="222" spans="15:15">
      <c r="O222" s="2"/>
    </row>
    <row r="223" spans="15:15">
      <c r="O223" s="2"/>
    </row>
    <row r="224" spans="15:15">
      <c r="O224" s="2"/>
    </row>
    <row r="225" spans="15:15">
      <c r="O225" s="2"/>
    </row>
    <row r="226" spans="15:15">
      <c r="O226" s="2"/>
    </row>
    <row r="227" spans="15:15">
      <c r="O227" s="2"/>
    </row>
    <row r="228" spans="15:15">
      <c r="O228" s="2"/>
    </row>
    <row r="229" spans="15:15">
      <c r="O229" s="2"/>
    </row>
    <row r="230" spans="15:15">
      <c r="O230" s="2"/>
    </row>
    <row r="231" spans="15:15">
      <c r="O231" s="2"/>
    </row>
    <row r="232" spans="15:15">
      <c r="O232" s="2"/>
    </row>
    <row r="233" spans="15:15">
      <c r="O233" s="2"/>
    </row>
    <row r="234" spans="15:15">
      <c r="O234" s="2"/>
    </row>
    <row r="235" spans="15:15">
      <c r="O235" s="2"/>
    </row>
    <row r="236" spans="15:15">
      <c r="O236" s="2"/>
    </row>
    <row r="237" spans="15:15">
      <c r="O237" s="2"/>
    </row>
    <row r="238" spans="15:15">
      <c r="O238" s="2"/>
    </row>
    <row r="239" spans="15:15">
      <c r="O239" s="2"/>
    </row>
    <row r="240" spans="15:15">
      <c r="O240" s="2"/>
    </row>
    <row r="241" spans="15:15">
      <c r="O241" s="2"/>
    </row>
    <row r="242" spans="15:15">
      <c r="O242" s="2"/>
    </row>
    <row r="243" spans="15:15">
      <c r="O243" s="2"/>
    </row>
    <row r="244" spans="15:15">
      <c r="O244" s="2"/>
    </row>
    <row r="245" spans="15:15">
      <c r="O245" s="2"/>
    </row>
    <row r="246" spans="15:15">
      <c r="O246" s="2"/>
    </row>
    <row r="247" spans="15:15">
      <c r="O247" s="2"/>
    </row>
    <row r="248" spans="15:15">
      <c r="O248" s="2"/>
    </row>
    <row r="249" spans="15:15">
      <c r="O249" s="2"/>
    </row>
    <row r="250" spans="15:15">
      <c r="O250" s="2"/>
    </row>
    <row r="251" spans="15:15">
      <c r="O251" s="2"/>
    </row>
    <row r="252" spans="15:15">
      <c r="O252" s="2"/>
    </row>
    <row r="253" spans="15:15">
      <c r="O253" s="2"/>
    </row>
    <row r="254" spans="15:15">
      <c r="O254" s="2"/>
    </row>
    <row r="255" spans="15:15">
      <c r="O255" s="2"/>
    </row>
    <row r="256" spans="15:15">
      <c r="O256" s="2"/>
    </row>
    <row r="257" spans="15:15">
      <c r="O257" s="2"/>
    </row>
    <row r="258" spans="15:15">
      <c r="O258" s="2"/>
    </row>
    <row r="259" spans="15:15">
      <c r="O259" s="2"/>
    </row>
    <row r="260" spans="15:15">
      <c r="O260" s="2"/>
    </row>
    <row r="261" spans="15:15">
      <c r="O261" s="2"/>
    </row>
    <row r="262" spans="15:15">
      <c r="O262" s="2"/>
    </row>
    <row r="263" spans="15:15">
      <c r="O263" s="2"/>
    </row>
    <row r="264" spans="15:15">
      <c r="O264" s="2"/>
    </row>
    <row r="265" spans="15:15">
      <c r="O265" s="2"/>
    </row>
    <row r="266" spans="15:15">
      <c r="O266" s="2"/>
    </row>
    <row r="267" spans="15:15">
      <c r="O267" s="2"/>
    </row>
    <row r="268" spans="15:15">
      <c r="O268" s="2"/>
    </row>
    <row r="269" spans="15:15">
      <c r="O269" s="2"/>
    </row>
    <row r="270" spans="15:15">
      <c r="O270" s="2"/>
    </row>
    <row r="271" spans="15:15">
      <c r="O271" s="2"/>
    </row>
    <row r="272" spans="15:15">
      <c r="O272" s="2"/>
    </row>
    <row r="273" spans="15:15">
      <c r="O273" s="2"/>
    </row>
    <row r="274" spans="15:15">
      <c r="O274" s="2"/>
    </row>
    <row r="275" spans="15:15">
      <c r="O275" s="2"/>
    </row>
    <row r="276" spans="15:15">
      <c r="O276" s="2"/>
    </row>
    <row r="277" spans="15:15">
      <c r="O277" s="2"/>
    </row>
    <row r="278" spans="15:15">
      <c r="O278" s="2"/>
    </row>
    <row r="279" spans="15:15">
      <c r="O279" s="2"/>
    </row>
    <row r="280" spans="15:15">
      <c r="O280" s="2"/>
    </row>
    <row r="281" spans="15:15">
      <c r="O281" s="2"/>
    </row>
    <row r="282" spans="15:15">
      <c r="O282" s="2"/>
    </row>
    <row r="283" spans="15:15">
      <c r="O283" s="2"/>
    </row>
    <row r="284" spans="15:15">
      <c r="O284" s="2"/>
    </row>
    <row r="285" spans="15:15">
      <c r="O285" s="2"/>
    </row>
    <row r="286" spans="15:15">
      <c r="O286" s="2"/>
    </row>
    <row r="287" spans="15:15">
      <c r="O287" s="2"/>
    </row>
    <row r="288" spans="15:15">
      <c r="O288" s="2"/>
    </row>
    <row r="289" spans="15:15">
      <c r="O289" s="2"/>
    </row>
    <row r="290" spans="15:15">
      <c r="O290" s="2"/>
    </row>
    <row r="291" spans="15:15">
      <c r="O291" s="2"/>
    </row>
    <row r="292" spans="15:15">
      <c r="O292" s="2"/>
    </row>
    <row r="293" spans="15:15">
      <c r="O293" s="2"/>
    </row>
    <row r="294" spans="15:15">
      <c r="O294" s="2"/>
    </row>
    <row r="295" spans="15:15">
      <c r="O295" s="2"/>
    </row>
    <row r="296" spans="15:15">
      <c r="O296" s="2"/>
    </row>
    <row r="297" spans="15:15">
      <c r="O297" s="2"/>
    </row>
    <row r="298" spans="15:15">
      <c r="O298" s="2"/>
    </row>
    <row r="299" spans="15:15">
      <c r="O299" s="2"/>
    </row>
    <row r="300" spans="15:15">
      <c r="O300" s="2"/>
    </row>
    <row r="301" spans="15:15">
      <c r="O301" s="2"/>
    </row>
    <row r="302" spans="15:15">
      <c r="O302" s="2"/>
    </row>
    <row r="303" spans="15:15">
      <c r="O303" s="2"/>
    </row>
    <row r="304" spans="15:15">
      <c r="O304" s="2"/>
    </row>
    <row r="305" spans="15:15">
      <c r="O305" s="2"/>
    </row>
    <row r="306" spans="15:15">
      <c r="O306" s="2"/>
    </row>
    <row r="307" spans="15:15">
      <c r="O307" s="2"/>
    </row>
    <row r="308" spans="15:15">
      <c r="O308" s="2"/>
    </row>
    <row r="309" spans="15:15">
      <c r="O309" s="2"/>
    </row>
    <row r="310" spans="15:15">
      <c r="O310" s="2"/>
    </row>
    <row r="311" spans="15:15">
      <c r="O311" s="2"/>
    </row>
    <row r="312" spans="15:15">
      <c r="O312" s="2"/>
    </row>
    <row r="313" spans="15:15">
      <c r="O313" s="2"/>
    </row>
    <row r="314" spans="15:15">
      <c r="O314" s="2"/>
    </row>
    <row r="315" spans="15:15">
      <c r="O315" s="2"/>
    </row>
    <row r="316" spans="15:15">
      <c r="O316" s="2"/>
    </row>
    <row r="317" spans="15:15">
      <c r="O317" s="2"/>
    </row>
    <row r="318" spans="15:15">
      <c r="O318" s="2"/>
    </row>
    <row r="319" spans="15:15">
      <c r="O319" s="2"/>
    </row>
    <row r="320" spans="15:15">
      <c r="O320" s="2"/>
    </row>
    <row r="321" spans="15:15">
      <c r="O321" s="2"/>
    </row>
    <row r="322" spans="15:15">
      <c r="O322" s="2"/>
    </row>
    <row r="323" spans="15:15">
      <c r="O323" s="2"/>
    </row>
    <row r="324" spans="15:15">
      <c r="O324" s="2"/>
    </row>
    <row r="325" spans="15:15">
      <c r="O325" s="2"/>
    </row>
    <row r="326" spans="15:15">
      <c r="O326" s="2"/>
    </row>
    <row r="327" spans="15:15">
      <c r="O327" s="2"/>
    </row>
    <row r="328" spans="15:15">
      <c r="O328" s="2"/>
    </row>
    <row r="329" spans="15:15">
      <c r="O329" s="2"/>
    </row>
    <row r="330" spans="15:15">
      <c r="O330" s="2"/>
    </row>
    <row r="331" spans="15:15">
      <c r="O331" s="2"/>
    </row>
    <row r="332" spans="15:15">
      <c r="O332" s="2"/>
    </row>
    <row r="333" spans="15:15">
      <c r="O333" s="2"/>
    </row>
    <row r="334" spans="15:15">
      <c r="O334" s="2"/>
    </row>
    <row r="335" spans="15:15">
      <c r="O335" s="2"/>
    </row>
    <row r="336" spans="15:15">
      <c r="O336" s="2"/>
    </row>
    <row r="337" spans="15:15">
      <c r="O337" s="2"/>
    </row>
    <row r="338" spans="15:15">
      <c r="O338" s="2"/>
    </row>
    <row r="339" spans="15:15">
      <c r="O339" s="2"/>
    </row>
    <row r="340" spans="15:15">
      <c r="O340" s="2"/>
    </row>
    <row r="341" spans="15:15">
      <c r="O341" s="2"/>
    </row>
    <row r="342" spans="15:15">
      <c r="O342" s="2"/>
    </row>
    <row r="343" spans="15:15">
      <c r="O343" s="2"/>
    </row>
    <row r="344" spans="15:15">
      <c r="O344" s="2"/>
    </row>
    <row r="345" spans="15:15">
      <c r="O345" s="2"/>
    </row>
    <row r="346" spans="15:15">
      <c r="O346" s="2"/>
    </row>
    <row r="347" spans="15:15">
      <c r="O347" s="2"/>
    </row>
    <row r="348" spans="15:15">
      <c r="O348" s="2"/>
    </row>
    <row r="349" spans="15:15">
      <c r="O349" s="2"/>
    </row>
    <row r="350" spans="15:15">
      <c r="O350" s="2"/>
    </row>
    <row r="351" spans="15:15">
      <c r="O351" s="2"/>
    </row>
    <row r="352" spans="15:15">
      <c r="O352" s="2"/>
    </row>
    <row r="353" spans="15:15">
      <c r="O353" s="2"/>
    </row>
    <row r="354" spans="15:15">
      <c r="O354" s="2"/>
    </row>
    <row r="355" spans="15:15">
      <c r="O355" s="2"/>
    </row>
    <row r="356" spans="15:15">
      <c r="O356" s="2"/>
    </row>
    <row r="357" spans="15:15">
      <c r="O357" s="2"/>
    </row>
    <row r="358" spans="15:15">
      <c r="O358" s="2"/>
    </row>
    <row r="359" spans="15:15">
      <c r="O359" s="2"/>
    </row>
    <row r="360" spans="15:15">
      <c r="O360" s="2"/>
    </row>
    <row r="361" spans="15:15">
      <c r="O361" s="2"/>
    </row>
    <row r="362" spans="15:15">
      <c r="O362" s="2"/>
    </row>
    <row r="363" spans="15:15">
      <c r="O363" s="2"/>
    </row>
    <row r="364" spans="15:15">
      <c r="O364" s="2"/>
    </row>
    <row r="365" spans="15:15">
      <c r="O365" s="2"/>
    </row>
    <row r="366" spans="15:15">
      <c r="O366" s="2"/>
    </row>
    <row r="367" spans="15:15">
      <c r="O367" s="2"/>
    </row>
    <row r="368" spans="15:15">
      <c r="O368" s="2"/>
    </row>
    <row r="369" spans="15:15">
      <c r="O369" s="2"/>
    </row>
    <row r="370" spans="15:15">
      <c r="O370" s="2"/>
    </row>
    <row r="371" spans="15:15">
      <c r="O371" s="2"/>
    </row>
    <row r="372" spans="15:15">
      <c r="O372" s="2"/>
    </row>
    <row r="373" spans="15:15">
      <c r="O373" s="2"/>
    </row>
    <row r="374" spans="15:15">
      <c r="O374" s="2"/>
    </row>
    <row r="375" spans="15:15">
      <c r="O375" s="2"/>
    </row>
    <row r="376" spans="15:15">
      <c r="O376" s="2"/>
    </row>
    <row r="377" spans="15:15">
      <c r="O377" s="2"/>
    </row>
    <row r="378" spans="15:15">
      <c r="O378" s="2"/>
    </row>
    <row r="379" spans="15:15">
      <c r="O379" s="2"/>
    </row>
    <row r="380" spans="15:15">
      <c r="O380" s="2"/>
    </row>
    <row r="381" spans="15:15">
      <c r="O381" s="2"/>
    </row>
    <row r="382" spans="15:15">
      <c r="O382" s="2"/>
    </row>
    <row r="383" spans="15:15">
      <c r="O383" s="2"/>
    </row>
    <row r="384" spans="15:15">
      <c r="O384" s="2"/>
    </row>
    <row r="385" spans="15:15">
      <c r="O385" s="2"/>
    </row>
    <row r="386" spans="15:15">
      <c r="O386" s="2"/>
    </row>
    <row r="387" spans="15:15">
      <c r="O387" s="2"/>
    </row>
    <row r="388" spans="15:15">
      <c r="O388" s="2"/>
    </row>
    <row r="389" spans="15:15">
      <c r="O389" s="2"/>
    </row>
    <row r="390" spans="15:15">
      <c r="O390" s="2"/>
    </row>
    <row r="391" spans="15:15">
      <c r="O391" s="2"/>
    </row>
    <row r="392" spans="15:15">
      <c r="O392" s="2"/>
    </row>
    <row r="393" spans="15:15">
      <c r="O393" s="2"/>
    </row>
    <row r="394" spans="15:15">
      <c r="O394" s="2"/>
    </row>
    <row r="395" spans="15:15">
      <c r="O395" s="2"/>
    </row>
    <row r="396" spans="15:15">
      <c r="O396" s="2"/>
    </row>
    <row r="397" spans="15:15">
      <c r="O397" s="2"/>
    </row>
    <row r="398" spans="15:15">
      <c r="O398" s="2"/>
    </row>
    <row r="399" spans="15:15">
      <c r="O399" s="2"/>
    </row>
    <row r="400" spans="15:15">
      <c r="O400" s="2"/>
    </row>
    <row r="401" spans="15:15">
      <c r="O401" s="2"/>
    </row>
    <row r="402" spans="15:15">
      <c r="O402" s="2"/>
    </row>
    <row r="403" spans="15:15">
      <c r="O403" s="2"/>
    </row>
    <row r="404" spans="15:15">
      <c r="O404" s="2"/>
    </row>
    <row r="405" spans="15:15">
      <c r="O405" s="2"/>
    </row>
    <row r="406" spans="15:15">
      <c r="O406" s="2"/>
    </row>
    <row r="407" spans="15:15">
      <c r="O407" s="2"/>
    </row>
    <row r="408" spans="15:15">
      <c r="O408" s="2"/>
    </row>
    <row r="409" spans="15:15">
      <c r="O409" s="2"/>
    </row>
    <row r="410" spans="15:15">
      <c r="O410" s="2"/>
    </row>
    <row r="411" spans="15:15">
      <c r="O411" s="2"/>
    </row>
    <row r="412" spans="15:15">
      <c r="O412" s="2"/>
    </row>
    <row r="413" spans="15:15">
      <c r="O413" s="2"/>
    </row>
    <row r="414" spans="15:15">
      <c r="O414" s="2"/>
    </row>
    <row r="415" spans="15:15">
      <c r="O415" s="2"/>
    </row>
    <row r="416" spans="15:15">
      <c r="O416" s="2"/>
    </row>
    <row r="417" spans="15:15">
      <c r="O417" s="2"/>
    </row>
    <row r="418" spans="15:15">
      <c r="O418" s="2"/>
    </row>
    <row r="419" spans="15:15">
      <c r="O419" s="2"/>
    </row>
    <row r="420" spans="15:15">
      <c r="O420" s="2"/>
    </row>
    <row r="421" spans="15:15">
      <c r="O421" s="2"/>
    </row>
    <row r="422" spans="15:15">
      <c r="O422" s="2"/>
    </row>
    <row r="423" spans="15:15">
      <c r="O423" s="2"/>
    </row>
    <row r="424" spans="15:15">
      <c r="O424" s="2"/>
    </row>
    <row r="425" spans="15:15">
      <c r="O425" s="2"/>
    </row>
    <row r="426" spans="15:15">
      <c r="O426" s="2"/>
    </row>
    <row r="427" spans="15:15">
      <c r="O427" s="2"/>
    </row>
    <row r="428" spans="15:15">
      <c r="O428" s="2"/>
    </row>
    <row r="429" spans="15:15">
      <c r="O429" s="2"/>
    </row>
    <row r="430" spans="15:15">
      <c r="O430" s="2"/>
    </row>
    <row r="431" spans="15:15">
      <c r="O431" s="2"/>
    </row>
    <row r="432" spans="15:15">
      <c r="O432" s="2"/>
    </row>
    <row r="433" spans="15:15">
      <c r="O433" s="2"/>
    </row>
    <row r="434" spans="15:15">
      <c r="O434" s="2"/>
    </row>
    <row r="435" spans="15:15">
      <c r="O435" s="2"/>
    </row>
    <row r="436" spans="15:15">
      <c r="O436" s="2"/>
    </row>
    <row r="437" spans="15:15">
      <c r="O437" s="2"/>
    </row>
    <row r="438" spans="15:15">
      <c r="O438" s="2"/>
    </row>
    <row r="439" spans="15:15">
      <c r="O439" s="2"/>
    </row>
    <row r="440" spans="15:15">
      <c r="O440" s="2"/>
    </row>
    <row r="441" spans="15:15">
      <c r="O441" s="2"/>
    </row>
    <row r="442" spans="15:15">
      <c r="O442" s="2"/>
    </row>
    <row r="443" spans="15:15">
      <c r="O443" s="2"/>
    </row>
    <row r="444" spans="15:15">
      <c r="O444" s="2"/>
    </row>
    <row r="445" spans="15:15">
      <c r="O445" s="2"/>
    </row>
    <row r="446" spans="15:15">
      <c r="O446" s="2"/>
    </row>
    <row r="447" spans="15:15">
      <c r="O447" s="2"/>
    </row>
    <row r="448" spans="15:15">
      <c r="O448" s="2"/>
    </row>
    <row r="449" spans="15:15">
      <c r="O449" s="2"/>
    </row>
    <row r="450" spans="15:15">
      <c r="O450" s="2"/>
    </row>
    <row r="451" spans="15:15">
      <c r="O451" s="2"/>
    </row>
    <row r="452" spans="15:15">
      <c r="O452" s="2"/>
    </row>
    <row r="453" spans="15:15">
      <c r="O453" s="2"/>
    </row>
    <row r="454" spans="15:15">
      <c r="O454" s="2"/>
    </row>
    <row r="455" spans="15:15">
      <c r="O455" s="2"/>
    </row>
    <row r="456" spans="15:15">
      <c r="O456" s="2"/>
    </row>
    <row r="457" spans="15:15">
      <c r="O457" s="2"/>
    </row>
    <row r="458" spans="15:15">
      <c r="O458" s="2"/>
    </row>
    <row r="459" spans="15:15">
      <c r="O459" s="2"/>
    </row>
    <row r="460" spans="15:15">
      <c r="O460" s="2"/>
    </row>
    <row r="461" spans="15:15">
      <c r="O461" s="2"/>
    </row>
    <row r="462" spans="15:15">
      <c r="O462" s="2"/>
    </row>
    <row r="463" spans="15:15">
      <c r="O463" s="2"/>
    </row>
    <row r="464" spans="15:15">
      <c r="O464" s="2"/>
    </row>
    <row r="465" spans="15:15">
      <c r="O465" s="2"/>
    </row>
    <row r="466" spans="15:15">
      <c r="O466" s="2"/>
    </row>
    <row r="467" spans="15:15">
      <c r="O467" s="2"/>
    </row>
    <row r="468" spans="15:15">
      <c r="O468" s="2"/>
    </row>
    <row r="469" spans="15:15">
      <c r="O469" s="2"/>
    </row>
    <row r="470" spans="15:15">
      <c r="O470" s="2"/>
    </row>
    <row r="471" spans="15:15">
      <c r="O471" s="2"/>
    </row>
    <row r="472" spans="15:15">
      <c r="O472" s="2"/>
    </row>
    <row r="473" spans="15:15">
      <c r="O473" s="2"/>
    </row>
    <row r="474" spans="15:15">
      <c r="O474" s="2"/>
    </row>
    <row r="475" spans="15:15">
      <c r="O475" s="2"/>
    </row>
    <row r="476" spans="15:15">
      <c r="O476" s="2"/>
    </row>
    <row r="477" spans="15:15">
      <c r="O477" s="2"/>
    </row>
    <row r="478" spans="15:15">
      <c r="O478" s="2"/>
    </row>
    <row r="479" spans="15:15">
      <c r="O479" s="2"/>
    </row>
    <row r="480" spans="15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  <row r="501" spans="15:15">
      <c r="O501" s="2"/>
    </row>
    <row r="502" spans="15:15">
      <c r="O502" s="2"/>
    </row>
    <row r="503" spans="15:15">
      <c r="O503" s="2"/>
    </row>
    <row r="504" spans="15:15">
      <c r="O504" s="2"/>
    </row>
    <row r="505" spans="15:15">
      <c r="O505" s="2"/>
    </row>
    <row r="506" spans="15:15">
      <c r="O506" s="2"/>
    </row>
    <row r="507" spans="15:15">
      <c r="O507" s="2"/>
    </row>
    <row r="508" spans="15:15">
      <c r="O508" s="2"/>
    </row>
    <row r="509" spans="15:15">
      <c r="O509" s="2"/>
    </row>
    <row r="510" spans="15:15">
      <c r="O510" s="2"/>
    </row>
    <row r="511" spans="15:15">
      <c r="O511" s="2"/>
    </row>
    <row r="512" spans="15:15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  <row r="521" spans="15:15">
      <c r="O521" s="2"/>
    </row>
    <row r="522" spans="15:15">
      <c r="O522" s="2"/>
    </row>
    <row r="523" spans="15:15">
      <c r="O523" s="2"/>
    </row>
    <row r="524" spans="15:15">
      <c r="O524" s="2"/>
    </row>
    <row r="525" spans="15:15">
      <c r="O525" s="2"/>
    </row>
    <row r="526" spans="15:15">
      <c r="O526" s="2"/>
    </row>
    <row r="527" spans="15:15">
      <c r="O527" s="2"/>
    </row>
    <row r="528" spans="15:15">
      <c r="O528" s="2"/>
    </row>
    <row r="529" spans="15:15">
      <c r="O529" s="2"/>
    </row>
    <row r="530" spans="15:15">
      <c r="O530" s="2"/>
    </row>
    <row r="531" spans="15:15">
      <c r="O531" s="2"/>
    </row>
    <row r="532" spans="15:15">
      <c r="O532" s="2"/>
    </row>
    <row r="533" spans="15:15">
      <c r="O533" s="2"/>
    </row>
    <row r="534" spans="15:15">
      <c r="O534" s="2"/>
    </row>
    <row r="535" spans="15:15">
      <c r="O535" s="2"/>
    </row>
    <row r="536" spans="15:15">
      <c r="O536" s="2"/>
    </row>
    <row r="537" spans="15:15">
      <c r="O537" s="2"/>
    </row>
    <row r="538" spans="15:15">
      <c r="O538" s="2"/>
    </row>
    <row r="539" spans="15:15">
      <c r="O539" s="2"/>
    </row>
    <row r="540" spans="15:15">
      <c r="O540" s="2"/>
    </row>
    <row r="541" spans="15:15">
      <c r="O541" s="2"/>
    </row>
    <row r="542" spans="15:15">
      <c r="O542" s="2"/>
    </row>
    <row r="543" spans="15:15">
      <c r="O543" s="2"/>
    </row>
    <row r="544" spans="15:15">
      <c r="O544" s="2"/>
    </row>
    <row r="545" spans="15:15">
      <c r="O545" s="2"/>
    </row>
    <row r="546" spans="15:15">
      <c r="O546" s="2"/>
    </row>
    <row r="547" spans="15:15">
      <c r="O547" s="2"/>
    </row>
    <row r="548" spans="15:15">
      <c r="O548" s="2"/>
    </row>
    <row r="549" spans="15:15">
      <c r="O549" s="2"/>
    </row>
    <row r="550" spans="15:15">
      <c r="O550" s="2"/>
    </row>
    <row r="551" spans="15:15">
      <c r="O551" s="2"/>
    </row>
    <row r="552" spans="15:15">
      <c r="O552" s="2"/>
    </row>
    <row r="553" spans="15:15">
      <c r="O553" s="2"/>
    </row>
    <row r="554" spans="15:15">
      <c r="O554" s="2"/>
    </row>
    <row r="555" spans="15:15">
      <c r="O555" s="2"/>
    </row>
    <row r="556" spans="15:15">
      <c r="O556" s="2"/>
    </row>
    <row r="557" spans="15:15">
      <c r="O557" s="2"/>
    </row>
    <row r="558" spans="15:15">
      <c r="O558" s="2"/>
    </row>
    <row r="559" spans="15:15">
      <c r="O559" s="2"/>
    </row>
    <row r="560" spans="15:15">
      <c r="O560" s="2"/>
    </row>
    <row r="561" spans="15:15">
      <c r="O561" s="2"/>
    </row>
    <row r="562" spans="15:15">
      <c r="O562" s="2"/>
    </row>
    <row r="563" spans="15:15">
      <c r="O563" s="2"/>
    </row>
    <row r="564" spans="15:15">
      <c r="O564" s="2"/>
    </row>
    <row r="565" spans="15:15">
      <c r="O565" s="2"/>
    </row>
    <row r="566" spans="15:15">
      <c r="O566" s="2"/>
    </row>
    <row r="567" spans="15:15">
      <c r="O567" s="2"/>
    </row>
    <row r="568" spans="15:15">
      <c r="O568" s="2"/>
    </row>
    <row r="569" spans="15:15">
      <c r="O569" s="2"/>
    </row>
    <row r="570" spans="15:15">
      <c r="O570" s="2"/>
    </row>
    <row r="571" spans="15:15">
      <c r="O571" s="2"/>
    </row>
    <row r="572" spans="15:15">
      <c r="O572" s="2"/>
    </row>
    <row r="573" spans="15:15">
      <c r="O573" s="2"/>
    </row>
    <row r="574" spans="15:15">
      <c r="O574" s="2"/>
    </row>
    <row r="575" spans="15:15">
      <c r="O575" s="2"/>
    </row>
    <row r="576" spans="15:15">
      <c r="O576" s="2"/>
    </row>
    <row r="577" spans="15:15">
      <c r="O577" s="2"/>
    </row>
    <row r="578" spans="15:15">
      <c r="O578" s="2"/>
    </row>
    <row r="579" spans="15:15">
      <c r="O579" s="2"/>
    </row>
    <row r="580" spans="15:15">
      <c r="O580" s="2"/>
    </row>
    <row r="581" spans="15:15">
      <c r="O581" s="2"/>
    </row>
    <row r="582" spans="15:15">
      <c r="O582" s="2"/>
    </row>
    <row r="583" spans="15:15">
      <c r="O583" s="2"/>
    </row>
    <row r="584" spans="15:15">
      <c r="O584" s="2"/>
    </row>
    <row r="585" spans="15:15">
      <c r="O585" s="2"/>
    </row>
    <row r="586" spans="15:15">
      <c r="O586" s="2"/>
    </row>
    <row r="587" spans="15:15">
      <c r="O587" s="2"/>
    </row>
    <row r="588" spans="15:15">
      <c r="O588" s="2"/>
    </row>
    <row r="589" spans="15:15">
      <c r="O589" s="2"/>
    </row>
    <row r="590" spans="15:15">
      <c r="O590" s="2"/>
    </row>
    <row r="591" spans="15:15">
      <c r="O591" s="2"/>
    </row>
    <row r="592" spans="15:15">
      <c r="O592" s="2"/>
    </row>
    <row r="593" spans="15:15">
      <c r="O593" s="2"/>
    </row>
    <row r="594" spans="15:15">
      <c r="O594" s="2"/>
    </row>
    <row r="595" spans="15:15">
      <c r="O595" s="2"/>
    </row>
    <row r="596" spans="15:15">
      <c r="O596" s="2"/>
    </row>
    <row r="597" spans="15:15">
      <c r="O597" s="2"/>
    </row>
    <row r="598" spans="15:15">
      <c r="O598" s="2"/>
    </row>
    <row r="599" spans="15:15">
      <c r="O599" s="2"/>
    </row>
    <row r="600" spans="15:15">
      <c r="O600" s="2"/>
    </row>
    <row r="601" spans="15:15">
      <c r="O601" s="2"/>
    </row>
    <row r="602" spans="15:15">
      <c r="O602" s="2"/>
    </row>
    <row r="603" spans="15:15">
      <c r="O603" s="2"/>
    </row>
    <row r="604" spans="15:15">
      <c r="O604" s="2"/>
    </row>
    <row r="605" spans="15:15">
      <c r="O605" s="2"/>
    </row>
    <row r="606" spans="15:15">
      <c r="O606" s="2"/>
    </row>
    <row r="607" spans="15:15">
      <c r="O607" s="2"/>
    </row>
    <row r="608" spans="15:15">
      <c r="O608" s="2"/>
    </row>
    <row r="609" spans="15:15">
      <c r="O609" s="2"/>
    </row>
    <row r="610" spans="15:15">
      <c r="O610" s="2"/>
    </row>
    <row r="611" spans="15:15">
      <c r="O611" s="2"/>
    </row>
    <row r="612" spans="15:15">
      <c r="O612" s="2"/>
    </row>
    <row r="613" spans="15:15">
      <c r="O613" s="2"/>
    </row>
    <row r="614" spans="15:15">
      <c r="O614" s="2"/>
    </row>
    <row r="615" spans="15:15">
      <c r="O615" s="2"/>
    </row>
    <row r="616" spans="15:15">
      <c r="O616" s="2"/>
    </row>
    <row r="617" spans="15:15">
      <c r="O617" s="2"/>
    </row>
    <row r="618" spans="15:15">
      <c r="O618" s="2"/>
    </row>
    <row r="619" spans="15:15">
      <c r="O619" s="2"/>
    </row>
    <row r="620" spans="15:15">
      <c r="O620" s="2"/>
    </row>
    <row r="621" spans="15:15">
      <c r="O621" s="2"/>
    </row>
    <row r="622" spans="15:15">
      <c r="O622" s="2"/>
    </row>
    <row r="623" spans="15:15">
      <c r="O623" s="2"/>
    </row>
    <row r="624" spans="15:15">
      <c r="O624" s="2"/>
    </row>
    <row r="625" spans="15:15">
      <c r="O625" s="2"/>
    </row>
    <row r="626" spans="15:15">
      <c r="O626" s="2"/>
    </row>
    <row r="627" spans="15:15">
      <c r="O627" s="2"/>
    </row>
    <row r="628" spans="15:15">
      <c r="O628" s="2"/>
    </row>
    <row r="629" spans="15:15">
      <c r="O629" s="2"/>
    </row>
    <row r="630" spans="15:15">
      <c r="O630" s="2"/>
    </row>
    <row r="631" spans="15:15">
      <c r="O631" s="2"/>
    </row>
    <row r="632" spans="15:15">
      <c r="O632" s="2"/>
    </row>
    <row r="633" spans="15:15">
      <c r="O633" s="2"/>
    </row>
    <row r="634" spans="15:15">
      <c r="O634" s="2"/>
    </row>
    <row r="635" spans="15:15">
      <c r="O635" s="2"/>
    </row>
    <row r="636" spans="15:15">
      <c r="O636" s="2"/>
    </row>
    <row r="637" spans="15:15">
      <c r="O637" s="2"/>
    </row>
    <row r="638" spans="15:15">
      <c r="O638" s="2"/>
    </row>
    <row r="639" spans="15:15">
      <c r="O639" s="2"/>
    </row>
    <row r="640" spans="15:15">
      <c r="O640" s="2"/>
    </row>
    <row r="641" spans="15:15">
      <c r="O641" s="2"/>
    </row>
    <row r="642" spans="15:15">
      <c r="O642" s="2"/>
    </row>
    <row r="643" spans="15:15">
      <c r="O643" s="2"/>
    </row>
    <row r="644" spans="15:15">
      <c r="O644" s="2"/>
    </row>
    <row r="645" spans="15:15">
      <c r="O645" s="2"/>
    </row>
    <row r="646" spans="15:15">
      <c r="O646" s="2"/>
    </row>
    <row r="647" spans="15:15">
      <c r="O647" s="2"/>
    </row>
    <row r="648" spans="15:15">
      <c r="O648" s="2"/>
    </row>
    <row r="649" spans="15:15">
      <c r="O649" s="2"/>
    </row>
    <row r="650" spans="15:15">
      <c r="O650" s="2"/>
    </row>
    <row r="651" spans="15:15">
      <c r="O651" s="2"/>
    </row>
    <row r="652" spans="15:15">
      <c r="O652" s="2"/>
    </row>
    <row r="653" spans="15:15">
      <c r="O653" s="2"/>
    </row>
    <row r="654" spans="15:15">
      <c r="O654" s="2"/>
    </row>
    <row r="655" spans="15:15">
      <c r="O655" s="2"/>
    </row>
    <row r="656" spans="15:15">
      <c r="O656" s="2"/>
    </row>
    <row r="657" spans="15:15">
      <c r="O657" s="2"/>
    </row>
    <row r="658" spans="15:15">
      <c r="O658" s="2"/>
    </row>
    <row r="659" spans="15:15">
      <c r="O659" s="2"/>
    </row>
    <row r="660" spans="15:15">
      <c r="O660" s="2"/>
    </row>
    <row r="661" spans="15:15">
      <c r="O661" s="2"/>
    </row>
    <row r="662" spans="15:15">
      <c r="O662" s="2"/>
    </row>
    <row r="663" spans="15:15">
      <c r="O663" s="2"/>
    </row>
    <row r="664" spans="15:15">
      <c r="O664" s="2"/>
    </row>
    <row r="665" spans="15:15">
      <c r="O665" s="2"/>
    </row>
    <row r="666" spans="15:15">
      <c r="O666" s="2"/>
    </row>
    <row r="667" spans="15:15">
      <c r="O667" s="2"/>
    </row>
    <row r="668" spans="15:15">
      <c r="O668" s="2"/>
    </row>
    <row r="669" spans="15:15">
      <c r="O669" s="2"/>
    </row>
    <row r="670" spans="15:15">
      <c r="O670" s="2"/>
    </row>
    <row r="671" spans="15:15">
      <c r="O671" s="2"/>
    </row>
    <row r="672" spans="15:15">
      <c r="O672" s="2"/>
    </row>
    <row r="673" spans="15:15">
      <c r="O673" s="2"/>
    </row>
    <row r="674" spans="15:15">
      <c r="O674" s="2"/>
    </row>
    <row r="675" spans="15:15">
      <c r="O675" s="2"/>
    </row>
    <row r="676" spans="15:15">
      <c r="O676" s="2"/>
    </row>
    <row r="677" spans="15:15">
      <c r="O677" s="2"/>
    </row>
    <row r="678" spans="15:15">
      <c r="O678" s="2"/>
    </row>
    <row r="679" spans="15:15">
      <c r="O679" s="2"/>
    </row>
    <row r="680" spans="15:15">
      <c r="O680" s="2"/>
    </row>
    <row r="681" spans="15:15">
      <c r="O681" s="2"/>
    </row>
    <row r="682" spans="15:15">
      <c r="O682" s="2"/>
    </row>
    <row r="683" spans="15:15">
      <c r="O683" s="2"/>
    </row>
    <row r="684" spans="15:15">
      <c r="O684" s="2"/>
    </row>
    <row r="685" spans="15:15">
      <c r="O685" s="2"/>
    </row>
    <row r="686" spans="15:15">
      <c r="O686" s="2"/>
    </row>
    <row r="687" spans="15:15">
      <c r="O687" s="2"/>
    </row>
    <row r="688" spans="15:15">
      <c r="O688" s="2"/>
    </row>
    <row r="689" spans="15:15">
      <c r="O689" s="2"/>
    </row>
    <row r="690" spans="15:15">
      <c r="O690" s="2"/>
    </row>
    <row r="691" spans="15:15">
      <c r="O691" s="2"/>
    </row>
    <row r="692" spans="15:15">
      <c r="O692" s="2"/>
    </row>
    <row r="693" spans="15:15">
      <c r="O693" s="2"/>
    </row>
    <row r="694" spans="15:15">
      <c r="O694" s="2"/>
    </row>
    <row r="695" spans="15:15">
      <c r="O695" s="2"/>
    </row>
    <row r="696" spans="15:15">
      <c r="O696" s="2"/>
    </row>
    <row r="697" spans="15:15">
      <c r="O697" s="2"/>
    </row>
    <row r="698" spans="15:15">
      <c r="O698" s="2"/>
    </row>
    <row r="699" spans="15:15">
      <c r="O699" s="2"/>
    </row>
    <row r="700" spans="15:15">
      <c r="O700" s="2"/>
    </row>
    <row r="701" spans="15:15">
      <c r="O701" s="2"/>
    </row>
    <row r="702" spans="15:15">
      <c r="O702" s="2"/>
    </row>
    <row r="703" spans="15:15">
      <c r="O703" s="2"/>
    </row>
    <row r="704" spans="15:15">
      <c r="O704" s="2"/>
    </row>
    <row r="705" spans="15:15">
      <c r="O705" s="2"/>
    </row>
    <row r="706" spans="15:15">
      <c r="O706" s="2"/>
    </row>
    <row r="707" spans="15:15">
      <c r="O707" s="2"/>
    </row>
    <row r="708" spans="15:15">
      <c r="O708" s="2"/>
    </row>
    <row r="709" spans="15:15">
      <c r="O709" s="2"/>
    </row>
    <row r="710" spans="15:15">
      <c r="O710" s="2"/>
    </row>
    <row r="711" spans="15:15">
      <c r="O711" s="2"/>
    </row>
    <row r="712" spans="15:15">
      <c r="O712" s="2"/>
    </row>
    <row r="713" spans="15:15">
      <c r="O713" s="2"/>
    </row>
    <row r="714" spans="15:15">
      <c r="O714" s="2"/>
    </row>
    <row r="715" spans="15:15">
      <c r="O715" s="2"/>
    </row>
    <row r="716" spans="15:15">
      <c r="O716" s="2"/>
    </row>
    <row r="717" spans="15:15">
      <c r="O717" s="2"/>
    </row>
    <row r="718" spans="15:15">
      <c r="O718" s="2"/>
    </row>
    <row r="719" spans="15:15">
      <c r="O719" s="2"/>
    </row>
    <row r="720" spans="15:15">
      <c r="O720" s="2"/>
    </row>
    <row r="721" spans="15:15">
      <c r="O721" s="2"/>
    </row>
    <row r="722" spans="15:15">
      <c r="O722" s="2"/>
    </row>
    <row r="723" spans="15:15">
      <c r="O723" s="2"/>
    </row>
    <row r="724" spans="15:15">
      <c r="O724" s="2"/>
    </row>
    <row r="725" spans="15:15">
      <c r="O725" s="2"/>
    </row>
    <row r="726" spans="15:15">
      <c r="O726" s="2"/>
    </row>
    <row r="727" spans="15:15">
      <c r="O727" s="2"/>
    </row>
    <row r="728" spans="15:15">
      <c r="O728" s="2"/>
    </row>
    <row r="729" spans="15:15">
      <c r="O729" s="2"/>
    </row>
    <row r="730" spans="15:15">
      <c r="O730" s="2"/>
    </row>
    <row r="731" spans="15:15">
      <c r="O731" s="2"/>
    </row>
    <row r="732" spans="15:15">
      <c r="O732" s="2"/>
    </row>
    <row r="733" spans="15:15">
      <c r="O733" s="2"/>
    </row>
    <row r="734" spans="15:15">
      <c r="O734" s="2"/>
    </row>
    <row r="735" spans="15:15">
      <c r="O735" s="2"/>
    </row>
    <row r="736" spans="15:15">
      <c r="O736" s="2"/>
    </row>
    <row r="737" spans="15:15">
      <c r="O737" s="2"/>
    </row>
    <row r="738" spans="15:15">
      <c r="O738" s="2"/>
    </row>
    <row r="739" spans="15:15">
      <c r="O739" s="2"/>
    </row>
    <row r="740" spans="15:15">
      <c r="O740" s="2"/>
    </row>
    <row r="741" spans="15:15">
      <c r="O741" s="2"/>
    </row>
    <row r="742" spans="15:15">
      <c r="O742" s="2"/>
    </row>
    <row r="743" spans="15:15">
      <c r="O743" s="2"/>
    </row>
    <row r="744" spans="15:15">
      <c r="O744" s="2"/>
    </row>
    <row r="745" spans="15:15">
      <c r="O745" s="2"/>
    </row>
    <row r="746" spans="15:15">
      <c r="O746" s="2"/>
    </row>
    <row r="747" spans="15:15">
      <c r="O747" s="2"/>
    </row>
    <row r="748" spans="15:15">
      <c r="O748" s="2"/>
    </row>
    <row r="749" spans="15:15">
      <c r="O749" s="2"/>
    </row>
    <row r="750" spans="15:15">
      <c r="O750" s="2"/>
    </row>
    <row r="751" spans="15:15">
      <c r="O751" s="2"/>
    </row>
    <row r="752" spans="15:15">
      <c r="O752" s="2"/>
    </row>
    <row r="753" spans="15:15">
      <c r="O753" s="2"/>
    </row>
    <row r="754" spans="15:15">
      <c r="O754" s="2"/>
    </row>
    <row r="755" spans="15:15">
      <c r="O755" s="2"/>
    </row>
    <row r="756" spans="15:15">
      <c r="O756" s="2"/>
    </row>
    <row r="757" spans="15:15">
      <c r="O757" s="2"/>
    </row>
    <row r="758" spans="15:15">
      <c r="O758" s="2"/>
    </row>
    <row r="759" spans="15:15">
      <c r="O759" s="2"/>
    </row>
    <row r="760" spans="15:15">
      <c r="O760" s="2"/>
    </row>
    <row r="761" spans="15:15">
      <c r="O761" s="2"/>
    </row>
    <row r="762" spans="15:15">
      <c r="O762" s="2"/>
    </row>
    <row r="763" spans="15:15">
      <c r="O763" s="2"/>
    </row>
    <row r="764" spans="15:15">
      <c r="O764" s="2"/>
    </row>
    <row r="765" spans="15:15">
      <c r="O765" s="2"/>
    </row>
    <row r="766" spans="15:15">
      <c r="O766" s="2"/>
    </row>
    <row r="767" spans="15:15">
      <c r="O767" s="2"/>
    </row>
    <row r="768" spans="15:15">
      <c r="O768" s="2"/>
    </row>
    <row r="769" spans="15:15">
      <c r="O769" s="2"/>
    </row>
    <row r="770" spans="15:15">
      <c r="O770" s="2"/>
    </row>
    <row r="771" spans="15:15">
      <c r="O771" s="2"/>
    </row>
    <row r="772" spans="15:15">
      <c r="O772" s="2"/>
    </row>
    <row r="773" spans="15:15">
      <c r="O773" s="2"/>
    </row>
    <row r="774" spans="15:15">
      <c r="O774" s="2"/>
    </row>
    <row r="775" spans="15:15">
      <c r="O775" s="2"/>
    </row>
    <row r="776" spans="15:15">
      <c r="O776" s="2"/>
    </row>
    <row r="777" spans="15:15">
      <c r="O777" s="2"/>
    </row>
    <row r="778" spans="15:15">
      <c r="O778" s="2"/>
    </row>
    <row r="779" spans="15:15">
      <c r="O779" s="2"/>
    </row>
    <row r="780" spans="15:15">
      <c r="O780" s="2"/>
    </row>
    <row r="781" spans="15:15">
      <c r="O781" s="2"/>
    </row>
    <row r="782" spans="15:15">
      <c r="O782" s="2"/>
    </row>
    <row r="783" spans="15:15">
      <c r="O783" s="2"/>
    </row>
    <row r="784" spans="15:15">
      <c r="O784" s="2"/>
    </row>
    <row r="785" spans="15:15">
      <c r="O785" s="2"/>
    </row>
    <row r="786" spans="15:15">
      <c r="O786" s="2"/>
    </row>
    <row r="787" spans="15:15">
      <c r="O787" s="2"/>
    </row>
    <row r="788" spans="15:15">
      <c r="O788" s="2"/>
    </row>
    <row r="789" spans="15:15">
      <c r="O789" s="2"/>
    </row>
    <row r="790" spans="15:15">
      <c r="O790" s="2"/>
    </row>
    <row r="791" spans="15:15">
      <c r="O791" s="2"/>
    </row>
    <row r="792" spans="15:15">
      <c r="O792" s="2"/>
    </row>
    <row r="793" spans="15:15">
      <c r="O793" s="2"/>
    </row>
    <row r="794" spans="15:15">
      <c r="O794" s="2"/>
    </row>
    <row r="795" spans="15:15">
      <c r="O795" s="2"/>
    </row>
    <row r="796" spans="15:15">
      <c r="O796" s="2"/>
    </row>
    <row r="797" spans="15:15">
      <c r="O797" s="2"/>
    </row>
    <row r="798" spans="15:15">
      <c r="O798" s="2"/>
    </row>
    <row r="799" spans="15:15">
      <c r="O799" s="2"/>
    </row>
    <row r="800" spans="15:15">
      <c r="O800" s="2"/>
    </row>
    <row r="801" spans="15:15">
      <c r="O801" s="2"/>
    </row>
    <row r="802" spans="15:15">
      <c r="O802" s="2"/>
    </row>
    <row r="803" spans="15:15">
      <c r="O803" s="2"/>
    </row>
    <row r="804" spans="15:15">
      <c r="O804" s="2"/>
    </row>
    <row r="805" spans="15:15">
      <c r="O805" s="2"/>
    </row>
    <row r="806" spans="15:15">
      <c r="O806" s="2"/>
    </row>
    <row r="807" spans="15:15">
      <c r="O807" s="2"/>
    </row>
    <row r="808" spans="15:15">
      <c r="O808" s="2"/>
    </row>
    <row r="809" spans="15:15">
      <c r="O809" s="2"/>
    </row>
    <row r="810" spans="15:15">
      <c r="O810" s="2"/>
    </row>
    <row r="811" spans="15:15">
      <c r="O811" s="2"/>
    </row>
    <row r="812" spans="15:15">
      <c r="O812" s="2"/>
    </row>
    <row r="813" spans="15:15">
      <c r="O813" s="2"/>
    </row>
    <row r="814" spans="15:15">
      <c r="O814" s="2"/>
    </row>
    <row r="815" spans="15:15">
      <c r="O815" s="2"/>
    </row>
    <row r="816" spans="15:15">
      <c r="O816" s="2"/>
    </row>
    <row r="817" spans="15:15">
      <c r="O817" s="2"/>
    </row>
    <row r="818" spans="15:15">
      <c r="O818" s="2"/>
    </row>
    <row r="819" spans="15:15">
      <c r="O819" s="2"/>
    </row>
    <row r="820" spans="15:15">
      <c r="O820" s="2"/>
    </row>
    <row r="821" spans="15:15">
      <c r="O821" s="2"/>
    </row>
    <row r="822" spans="15:15">
      <c r="O822" s="2"/>
    </row>
    <row r="823" spans="15:15">
      <c r="O823" s="2"/>
    </row>
    <row r="824" spans="15:15">
      <c r="O824" s="2"/>
    </row>
    <row r="825" spans="15:15">
      <c r="O825" s="2"/>
    </row>
    <row r="826" spans="15:15">
      <c r="O826" s="2"/>
    </row>
    <row r="827" spans="15:15">
      <c r="O827" s="2"/>
    </row>
    <row r="828" spans="15:15">
      <c r="O828" s="2"/>
    </row>
    <row r="829" spans="15:15">
      <c r="O829" s="2"/>
    </row>
    <row r="830" spans="15:15">
      <c r="O830" s="2"/>
    </row>
    <row r="831" spans="15:15">
      <c r="O831" s="2"/>
    </row>
    <row r="832" spans="15:15">
      <c r="O832" s="2"/>
    </row>
    <row r="833" spans="15:15">
      <c r="O833" s="2"/>
    </row>
    <row r="834" spans="15:15">
      <c r="O834" s="2"/>
    </row>
    <row r="835" spans="15:15">
      <c r="O835" s="2"/>
    </row>
    <row r="836" spans="15:15">
      <c r="O836" s="2"/>
    </row>
    <row r="837" spans="15:15">
      <c r="O837" s="2"/>
    </row>
    <row r="838" spans="15:15">
      <c r="O838" s="2"/>
    </row>
    <row r="839" spans="15:15">
      <c r="O839" s="2"/>
    </row>
    <row r="840" spans="15:15">
      <c r="O840" s="2"/>
    </row>
    <row r="841" spans="15:15">
      <c r="O841" s="2"/>
    </row>
    <row r="842" spans="15:15">
      <c r="O842" s="2"/>
    </row>
    <row r="843" spans="15:15">
      <c r="O843" s="2"/>
    </row>
    <row r="844" spans="15:15">
      <c r="O844" s="2"/>
    </row>
    <row r="845" spans="15:15">
      <c r="O845" s="2"/>
    </row>
    <row r="846" spans="15:15">
      <c r="O846" s="2"/>
    </row>
    <row r="847" spans="15:15">
      <c r="O847" s="2"/>
    </row>
    <row r="848" spans="15:15">
      <c r="O848" s="2"/>
    </row>
    <row r="849" spans="15:15">
      <c r="O849" s="2"/>
    </row>
    <row r="850" spans="15:15">
      <c r="O850" s="2"/>
    </row>
    <row r="851" spans="15:15">
      <c r="O851" s="2"/>
    </row>
    <row r="852" spans="15:15">
      <c r="O852" s="2"/>
    </row>
    <row r="853" spans="15:15">
      <c r="O853" s="2"/>
    </row>
    <row r="854" spans="15:15">
      <c r="O854" s="2"/>
    </row>
    <row r="855" spans="15:15">
      <c r="O855" s="2"/>
    </row>
    <row r="856" spans="15:15">
      <c r="O856" s="2"/>
    </row>
    <row r="857" spans="15:15">
      <c r="O857" s="2"/>
    </row>
    <row r="858" spans="15:15">
      <c r="O858" s="2"/>
    </row>
    <row r="859" spans="15:15">
      <c r="O859" s="2"/>
    </row>
    <row r="860" spans="15:15">
      <c r="O860" s="2"/>
    </row>
    <row r="861" spans="15:15">
      <c r="O861" s="2"/>
    </row>
    <row r="862" spans="15:15">
      <c r="O862" s="2"/>
    </row>
    <row r="863" spans="15:15">
      <c r="O863" s="2"/>
    </row>
    <row r="864" spans="15:15">
      <c r="O864" s="2"/>
    </row>
    <row r="865" spans="15:15">
      <c r="O865" s="2"/>
    </row>
    <row r="866" spans="15:15">
      <c r="O866" s="2"/>
    </row>
    <row r="867" spans="15:15">
      <c r="O867" s="2"/>
    </row>
    <row r="868" spans="15:15">
      <c r="O868" s="2"/>
    </row>
    <row r="869" spans="15:15">
      <c r="O869" s="2"/>
    </row>
    <row r="870" spans="15:15">
      <c r="O870" s="2"/>
    </row>
    <row r="871" spans="15:15">
      <c r="O871" s="2"/>
    </row>
    <row r="872" spans="15:15">
      <c r="O872" s="2"/>
    </row>
    <row r="873" spans="15:15">
      <c r="O873" s="2"/>
    </row>
    <row r="874" spans="15:15">
      <c r="O874" s="2"/>
    </row>
    <row r="875" spans="15:15">
      <c r="O875" s="2"/>
    </row>
    <row r="876" spans="15:15">
      <c r="O876" s="2"/>
    </row>
    <row r="877" spans="15:15">
      <c r="O877" s="2"/>
    </row>
    <row r="878" spans="15:15">
      <c r="O878" s="2"/>
    </row>
    <row r="879" spans="15:15">
      <c r="O879" s="2"/>
    </row>
    <row r="880" spans="15:15">
      <c r="O880" s="2"/>
    </row>
    <row r="881" spans="15:15">
      <c r="O881" s="2"/>
    </row>
    <row r="882" spans="15:15">
      <c r="O882" s="2"/>
    </row>
    <row r="883" spans="15:15">
      <c r="O883" s="2"/>
    </row>
    <row r="884" spans="15:15">
      <c r="O884" s="2"/>
    </row>
    <row r="885" spans="15:15">
      <c r="O885" s="2"/>
    </row>
    <row r="886" spans="15:15">
      <c r="O886" s="2"/>
    </row>
    <row r="887" spans="15:15">
      <c r="O887" s="2"/>
    </row>
    <row r="888" spans="15:15">
      <c r="O888" s="2"/>
    </row>
    <row r="889" spans="15:15">
      <c r="O889" s="2"/>
    </row>
    <row r="890" spans="15:15">
      <c r="O890" s="2"/>
    </row>
    <row r="891" spans="15:15">
      <c r="O891" s="2"/>
    </row>
    <row r="892" spans="15:15">
      <c r="O892" s="2"/>
    </row>
    <row r="893" spans="15:15">
      <c r="O893" s="2"/>
    </row>
    <row r="894" spans="15:15">
      <c r="O894" s="2"/>
    </row>
    <row r="895" spans="15:15">
      <c r="O895" s="2"/>
    </row>
    <row r="896" spans="15:15">
      <c r="O896" s="2"/>
    </row>
    <row r="897" spans="15:15">
      <c r="O897" s="2"/>
    </row>
    <row r="898" spans="15:15">
      <c r="O898" s="2"/>
    </row>
    <row r="899" spans="15:15">
      <c r="O899" s="2"/>
    </row>
    <row r="900" spans="15:15">
      <c r="O900" s="2"/>
    </row>
    <row r="901" spans="15:15">
      <c r="O901" s="2"/>
    </row>
    <row r="902" spans="15:15">
      <c r="O902" s="2"/>
    </row>
    <row r="903" spans="15:15">
      <c r="O903" s="2"/>
    </row>
    <row r="904" spans="15:15">
      <c r="O904" s="2"/>
    </row>
    <row r="905" spans="15:15">
      <c r="O905" s="2"/>
    </row>
    <row r="906" spans="15:15">
      <c r="O906" s="2"/>
    </row>
    <row r="907" spans="15:15">
      <c r="O907" s="2"/>
    </row>
    <row r="908" spans="15:15">
      <c r="O908" s="2"/>
    </row>
    <row r="909" spans="15:15">
      <c r="O909" s="2"/>
    </row>
    <row r="910" spans="15:15">
      <c r="O910" s="2"/>
    </row>
    <row r="911" spans="15:15">
      <c r="O911" s="2"/>
    </row>
    <row r="912" spans="15:15">
      <c r="O912" s="2"/>
    </row>
    <row r="913" spans="15:15">
      <c r="O913" s="2"/>
    </row>
    <row r="914" spans="15:15">
      <c r="O914" s="2"/>
    </row>
    <row r="915" spans="15:15">
      <c r="O915" s="2"/>
    </row>
    <row r="916" spans="15:15">
      <c r="O916" s="2"/>
    </row>
    <row r="917" spans="15:15">
      <c r="O917" s="2"/>
    </row>
    <row r="918" spans="15:15">
      <c r="O918" s="2"/>
    </row>
    <row r="919" spans="15:15">
      <c r="O919" s="2"/>
    </row>
    <row r="920" spans="15:15">
      <c r="O920" s="2"/>
    </row>
    <row r="921" spans="15:15">
      <c r="O921" s="2"/>
    </row>
    <row r="922" spans="15:15">
      <c r="O922" s="2"/>
    </row>
    <row r="923" spans="15:15">
      <c r="O923" s="2"/>
    </row>
    <row r="924" spans="15:15">
      <c r="O924" s="2"/>
    </row>
    <row r="925" spans="15:15">
      <c r="O925" s="2"/>
    </row>
    <row r="926" spans="15:15">
      <c r="O926" s="2"/>
    </row>
    <row r="927" spans="15:15">
      <c r="O927" s="2"/>
    </row>
    <row r="928" spans="15:15">
      <c r="O928" s="2"/>
    </row>
    <row r="929" spans="15:15">
      <c r="O929" s="2"/>
    </row>
    <row r="930" spans="15:15">
      <c r="O930" s="2"/>
    </row>
    <row r="931" spans="15:15">
      <c r="O931" s="2"/>
    </row>
    <row r="932" spans="15:15">
      <c r="O932" s="2"/>
    </row>
    <row r="933" spans="15:15">
      <c r="O933" s="2"/>
    </row>
    <row r="934" spans="15:15">
      <c r="O934" s="2"/>
    </row>
    <row r="935" spans="15:15">
      <c r="O935" s="2"/>
    </row>
    <row r="936" spans="15:15">
      <c r="O936" s="2"/>
    </row>
    <row r="937" spans="15:15">
      <c r="O937" s="2"/>
    </row>
    <row r="938" spans="15:15">
      <c r="O938" s="2"/>
    </row>
    <row r="939" spans="15:15">
      <c r="O939" s="2"/>
    </row>
    <row r="940" spans="15:15">
      <c r="O940" s="2"/>
    </row>
    <row r="941" spans="15:15">
      <c r="O941" s="2"/>
    </row>
    <row r="942" spans="15:15">
      <c r="O942" s="2"/>
    </row>
    <row r="943" spans="15:15">
      <c r="O943" s="2"/>
    </row>
    <row r="944" spans="15:15">
      <c r="O944" s="2"/>
    </row>
    <row r="945" spans="15:15">
      <c r="O945" s="2"/>
    </row>
    <row r="946" spans="15:15">
      <c r="O946" s="2"/>
    </row>
    <row r="947" spans="15:15">
      <c r="O947" s="2"/>
    </row>
    <row r="948" spans="15:15">
      <c r="O948" s="2"/>
    </row>
    <row r="949" spans="15:15">
      <c r="O949" s="2"/>
    </row>
    <row r="950" spans="15:15">
      <c r="O950" s="2"/>
    </row>
    <row r="951" spans="15:15">
      <c r="O951" s="2"/>
    </row>
    <row r="952" spans="15:15">
      <c r="O952" s="2"/>
    </row>
    <row r="953" spans="15:15">
      <c r="O953" s="2"/>
    </row>
    <row r="954" spans="15:15">
      <c r="O954" s="2"/>
    </row>
    <row r="955" spans="15:15">
      <c r="O955" s="2"/>
    </row>
    <row r="956" spans="15:15">
      <c r="O956" s="2"/>
    </row>
    <row r="957" spans="15:15">
      <c r="O957" s="2"/>
    </row>
    <row r="958" spans="15:15">
      <c r="O958" s="2"/>
    </row>
    <row r="959" spans="15:15">
      <c r="O959" s="2"/>
    </row>
    <row r="960" spans="15:15">
      <c r="O960" s="2"/>
    </row>
    <row r="961" spans="15:15">
      <c r="O961" s="2"/>
    </row>
    <row r="962" spans="15:15">
      <c r="O962" s="2"/>
    </row>
    <row r="963" spans="15:15">
      <c r="O963" s="2"/>
    </row>
    <row r="964" spans="15:15">
      <c r="O964" s="2"/>
    </row>
    <row r="965" spans="15:15">
      <c r="O965" s="2"/>
    </row>
    <row r="966" spans="15:15">
      <c r="O966" s="2"/>
    </row>
    <row r="967" spans="15:15">
      <c r="O967" s="2"/>
    </row>
    <row r="968" spans="15:15">
      <c r="O968" s="2"/>
    </row>
    <row r="969" spans="15:15">
      <c r="O969" s="2"/>
    </row>
    <row r="970" spans="15:15">
      <c r="O970" s="2"/>
    </row>
    <row r="971" spans="15:15">
      <c r="O971" s="2"/>
    </row>
    <row r="972" spans="15:15">
      <c r="O972" s="2"/>
    </row>
    <row r="973" spans="15:15">
      <c r="O973" s="2"/>
    </row>
    <row r="974" spans="15:15">
      <c r="O974" s="2"/>
    </row>
    <row r="975" spans="15:15">
      <c r="O975" s="2"/>
    </row>
    <row r="976" spans="15:15">
      <c r="O976" s="2"/>
    </row>
    <row r="977" spans="15:15">
      <c r="O977" s="2"/>
    </row>
    <row r="978" spans="15:15">
      <c r="O978" s="2"/>
    </row>
    <row r="979" spans="15:15">
      <c r="O979" s="2"/>
    </row>
    <row r="980" spans="15:15">
      <c r="O980" s="2"/>
    </row>
    <row r="981" spans="15:15">
      <c r="O981" s="2"/>
    </row>
    <row r="982" spans="15:15">
      <c r="O982" s="2"/>
    </row>
    <row r="983" spans="15:15">
      <c r="O983" s="2"/>
    </row>
    <row r="984" spans="15:15">
      <c r="O984" s="2"/>
    </row>
    <row r="985" spans="15:15">
      <c r="O985" s="2"/>
    </row>
    <row r="986" spans="15:15">
      <c r="O986" s="2"/>
    </row>
    <row r="987" spans="15:15">
      <c r="O987" s="2"/>
    </row>
    <row r="988" spans="15:15">
      <c r="O988" s="2"/>
    </row>
    <row r="989" spans="15:15">
      <c r="O989" s="2"/>
    </row>
    <row r="990" spans="15:15">
      <c r="O990" s="2"/>
    </row>
    <row r="991" spans="15:15">
      <c r="O991" s="2"/>
    </row>
    <row r="992" spans="15:15">
      <c r="O992" s="2"/>
    </row>
    <row r="993" spans="15:15">
      <c r="O993" s="2"/>
    </row>
    <row r="994" spans="15:15">
      <c r="O994" s="2"/>
    </row>
    <row r="995" spans="15:15">
      <c r="O995" s="2"/>
    </row>
    <row r="996" spans="15:15">
      <c r="O996" s="2"/>
    </row>
    <row r="997" spans="15:15">
      <c r="O997" s="2"/>
    </row>
    <row r="998" spans="15:15">
      <c r="O998" s="2"/>
    </row>
    <row r="999" spans="15:15">
      <c r="O999" s="2"/>
    </row>
    <row r="1000" spans="15:15">
      <c r="O1000" s="2"/>
    </row>
  </sheetData>
  <autoFilter ref="A2:N35" xr:uid="{00000000-0009-0000-0000-00000B000000}"/>
  <customSheetViews>
    <customSheetView guid="{845FBECC-592C-4475-9184-0C9DD86A8A6D}" filter="1" showAutoFilter="1">
      <pageMargins left="0.7" right="0.7" top="0.75" bottom="0.75" header="0.3" footer="0.3"/>
      <autoFilter ref="A2:N1000" xr:uid="{F140F118-B75F-45D1-90F8-48FFC7141F1A}">
        <filterColumn colId="2">
          <filters blank="1">
            <filter val="MJ"/>
            <filter val="N"/>
            <filter val="NJ"/>
          </filters>
        </filterColumn>
        <filterColumn colId="3">
          <filters>
            <filter val="25m .22 30+30 H8"/>
          </filters>
        </filterColumn>
        <filterColumn colId="4">
          <filters blank="1">
            <filter val="Võistkond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C2846827-8EC2-4F89-99AE-71CA13318E9E}">
        <filterColumn colId="2">
          <filters blank="1">
            <filter val="M"/>
            <filter val="MJ"/>
          </filters>
        </filterColumn>
        <filterColumn colId="3">
          <filters>
            <filter val="25m .22 30+30 H8"/>
          </filters>
        </filterColumn>
        <filterColumn colId="4">
          <filters blank="1">
            <filter val="Võistkond"/>
          </filters>
        </filterColumn>
      </autoFilter>
    </customSheetView>
  </customSheetViews>
  <mergeCells count="2">
    <mergeCell ref="C1:E1"/>
    <mergeCell ref="K1:N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X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8.42578125" customWidth="1"/>
    <col min="3" max="3" width="7.42578125" customWidth="1"/>
    <col min="4" max="4" width="10.28515625" customWidth="1"/>
    <col min="6" max="6" width="7.42578125" customWidth="1"/>
    <col min="7" max="12" width="8.42578125" customWidth="1"/>
    <col min="13" max="14" width="8.85546875" customWidth="1"/>
  </cols>
  <sheetData>
    <row r="1" spans="1:24" ht="39.75" customHeight="1">
      <c r="A1" s="8" t="s">
        <v>6</v>
      </c>
      <c r="B1" s="8"/>
      <c r="C1" s="8" t="s">
        <v>41</v>
      </c>
      <c r="D1" s="8"/>
      <c r="E1" s="8"/>
      <c r="F1" s="8"/>
      <c r="G1" s="8"/>
      <c r="H1" s="8"/>
      <c r="I1" s="27" t="s">
        <v>46</v>
      </c>
      <c r="J1" s="28"/>
      <c r="K1" s="28"/>
      <c r="L1" s="28"/>
      <c r="M1" s="28"/>
      <c r="N1" s="2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6" t="str">
        <f ca="1">IFERROR(__xludf.DUMMYFUNCTION("SORT(FILTER(Nimekiri,ALA=A1),13,FALSE,12,FALSE)"),"Silver Mäe")</f>
        <v>Silver Mäe</v>
      </c>
      <c r="B3" s="6" t="str">
        <f ca="1">IFERROR(__xludf.DUMMYFUNCTION("""COMPUTED_VALUE"""),"Sakala")</f>
        <v>Sakala</v>
      </c>
      <c r="C3" s="6" t="str">
        <f ca="1">IFERROR(__xludf.DUMMYFUNCTION("""COMPUTED_VALUE"""),"M")</f>
        <v>M</v>
      </c>
      <c r="D3" s="6" t="str">
        <f ca="1">IFERROR(__xludf.DUMMYFUNCTION("""COMPUTED_VALUE"""),"25m .22 H9")</f>
        <v>25m .22 H9</v>
      </c>
      <c r="E3" s="6" t="str">
        <f ca="1">IFERROR(__xludf.DUMMYFUNCTION("""COMPUTED_VALUE"""),"Võistkond")</f>
        <v>Võistkond</v>
      </c>
      <c r="F3" s="6" t="str">
        <f ca="1">IFERROR(__xludf.DUMMYFUNCTION("""COMPUTED_VALUE"""),"10.09.23")</f>
        <v>10.09.23</v>
      </c>
      <c r="G3" s="6">
        <f ca="1">IFERROR(__xludf.DUMMYFUNCTION("""COMPUTED_VALUE"""),95)</f>
        <v>95</v>
      </c>
      <c r="H3" s="6">
        <f ca="1">IFERROR(__xludf.DUMMYFUNCTION("""COMPUTED_VALUE"""),96)</f>
        <v>96</v>
      </c>
      <c r="I3" s="6">
        <f ca="1">IFERROR(__xludf.DUMMYFUNCTION("""COMPUTED_VALUE"""),98)</f>
        <v>98</v>
      </c>
      <c r="J3" s="6"/>
      <c r="K3" s="6"/>
      <c r="L3" s="6"/>
      <c r="M3" s="6">
        <f ca="1">IFERROR(__xludf.DUMMYFUNCTION("""COMPUTED_VALUE"""),289)</f>
        <v>289</v>
      </c>
      <c r="N3" s="6">
        <f ca="1">IFERROR(__xludf.DUMMYFUNCTION("""COMPUTED_VALUE"""),289)</f>
        <v>289</v>
      </c>
    </row>
    <row r="4" spans="1:24" ht="12.75">
      <c r="A4" s="6" t="str">
        <f ca="1">IFERROR(__xludf.DUMMYFUNCTION("""COMPUTED_VALUE"""),"Asko Mäeots")</f>
        <v>Asko Mäeots</v>
      </c>
      <c r="B4" s="6" t="str">
        <f ca="1">IFERROR(__xludf.DUMMYFUNCTION("""COMPUTED_VALUE"""),"Järva")</f>
        <v>Järva</v>
      </c>
      <c r="C4" s="6" t="str">
        <f ca="1">IFERROR(__xludf.DUMMYFUNCTION("""COMPUTED_VALUE"""),"M")</f>
        <v>M</v>
      </c>
      <c r="D4" s="6" t="str">
        <f ca="1">IFERROR(__xludf.DUMMYFUNCTION("""COMPUTED_VALUE"""),"25m .22 H9")</f>
        <v>25m .22 H9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IFERROR(__xludf.DUMMYFUNCTION("""COMPUTED_VALUE"""),97)</f>
        <v>97</v>
      </c>
      <c r="H4" s="6">
        <f ca="1">IFERROR(__xludf.DUMMYFUNCTION("""COMPUTED_VALUE"""),99)</f>
        <v>99</v>
      </c>
      <c r="I4" s="6">
        <f ca="1">IFERROR(__xludf.DUMMYFUNCTION("""COMPUTED_VALUE"""),91)</f>
        <v>91</v>
      </c>
      <c r="J4" s="6"/>
      <c r="K4" s="6"/>
      <c r="L4" s="6"/>
      <c r="M4" s="6">
        <f ca="1">IFERROR(__xludf.DUMMYFUNCTION("""COMPUTED_VALUE"""),287)</f>
        <v>287</v>
      </c>
      <c r="N4" s="6">
        <f ca="1">IFERROR(__xludf.DUMMYFUNCTION("""COMPUTED_VALUE"""),287)</f>
        <v>287</v>
      </c>
    </row>
    <row r="5" spans="1:24" ht="12.75">
      <c r="A5" s="6" t="str">
        <f ca="1">IFERROR(__xludf.DUMMYFUNCTION("""COMPUTED_VALUE"""),"Ragnar Juurik")</f>
        <v>Ragnar Juurik</v>
      </c>
      <c r="B5" s="6" t="str">
        <f ca="1">IFERROR(__xludf.DUMMYFUNCTION("""COMPUTED_VALUE"""),"Rapla")</f>
        <v>Rapla</v>
      </c>
      <c r="C5" s="6" t="str">
        <f ca="1">IFERROR(__xludf.DUMMYFUNCTION("""COMPUTED_VALUE"""),"MJ")</f>
        <v>MJ</v>
      </c>
      <c r="D5" s="6" t="str">
        <f ca="1">IFERROR(__xludf.DUMMYFUNCTION("""COMPUTED_VALUE"""),"25m .22 H9")</f>
        <v>25m .22 H9</v>
      </c>
      <c r="E5" s="6" t="str">
        <f ca="1">IFERROR(__xludf.DUMMYFUNCTION("""COMPUTED_VALUE"""),"Võistkond")</f>
        <v>Võistkond</v>
      </c>
      <c r="F5" s="6" t="str">
        <f ca="1">IFERROR(__xludf.DUMMYFUNCTION("""COMPUTED_VALUE"""),"10.09.23")</f>
        <v>10.09.23</v>
      </c>
      <c r="G5" s="6">
        <f ca="1">IFERROR(__xludf.DUMMYFUNCTION("""COMPUTED_VALUE"""),96)</f>
        <v>96</v>
      </c>
      <c r="H5" s="6">
        <f ca="1">IFERROR(__xludf.DUMMYFUNCTION("""COMPUTED_VALUE"""),94)</f>
        <v>94</v>
      </c>
      <c r="I5" s="6">
        <f ca="1">IFERROR(__xludf.DUMMYFUNCTION("""COMPUTED_VALUE"""),95)</f>
        <v>95</v>
      </c>
      <c r="J5" s="6"/>
      <c r="K5" s="6"/>
      <c r="L5" s="6"/>
      <c r="M5" s="6">
        <f ca="1">IFERROR(__xludf.DUMMYFUNCTION("""COMPUTED_VALUE"""),285)</f>
        <v>285</v>
      </c>
      <c r="N5" s="6">
        <f ca="1">IFERROR(__xludf.DUMMYFUNCTION("""COMPUTED_VALUE"""),285)</f>
        <v>285</v>
      </c>
    </row>
    <row r="6" spans="1:24" ht="12.75">
      <c r="A6" s="6" t="str">
        <f ca="1">IFERROR(__xludf.DUMMYFUNCTION("""COMPUTED_VALUE"""),"Marja Kirss")</f>
        <v>Marja Kirss</v>
      </c>
      <c r="B6" s="6" t="str">
        <f ca="1">IFERROR(__xludf.DUMMYFUNCTION("""COMPUTED_VALUE"""),"Sakala")</f>
        <v>Sakala</v>
      </c>
      <c r="C6" s="6" t="str">
        <f ca="1">IFERROR(__xludf.DUMMYFUNCTION("""COMPUTED_VALUE"""),"N")</f>
        <v>N</v>
      </c>
      <c r="D6" s="6" t="str">
        <f ca="1">IFERROR(__xludf.DUMMYFUNCTION("""COMPUTED_VALUE"""),"25m .22 H9")</f>
        <v>25m .22 H9</v>
      </c>
      <c r="E6" s="6" t="str">
        <f ca="1">IFERROR(__xludf.DUMMYFUNCTION("""COMPUTED_VALUE"""),"Võistkond")</f>
        <v>Võistkond</v>
      </c>
      <c r="F6" s="6" t="str">
        <f ca="1">IFERROR(__xludf.DUMMYFUNCTION("""COMPUTED_VALUE"""),"10.09.23")</f>
        <v>10.09.23</v>
      </c>
      <c r="G6" s="6">
        <f ca="1">IFERROR(__xludf.DUMMYFUNCTION("""COMPUTED_VALUE"""),95)</f>
        <v>95</v>
      </c>
      <c r="H6" s="6">
        <f ca="1">IFERROR(__xludf.DUMMYFUNCTION("""COMPUTED_VALUE"""),94)</f>
        <v>94</v>
      </c>
      <c r="I6" s="6">
        <f ca="1">IFERROR(__xludf.DUMMYFUNCTION("""COMPUTED_VALUE"""),96)</f>
        <v>96</v>
      </c>
      <c r="J6" s="6"/>
      <c r="K6" s="6"/>
      <c r="L6" s="6"/>
      <c r="M6" s="6">
        <f ca="1">IFERROR(__xludf.DUMMYFUNCTION("""COMPUTED_VALUE"""),285)</f>
        <v>285</v>
      </c>
      <c r="N6" s="6">
        <f ca="1">IFERROR(__xludf.DUMMYFUNCTION("""COMPUTED_VALUE"""),285)</f>
        <v>285</v>
      </c>
    </row>
    <row r="7" spans="1:24" ht="12.75">
      <c r="A7" s="6" t="str">
        <f ca="1">IFERROR(__xludf.DUMMYFUNCTION("""COMPUTED_VALUE"""),"Andero Laurits")</f>
        <v>Andero Laurits</v>
      </c>
      <c r="B7" s="6" t="str">
        <f ca="1">IFERROR(__xludf.DUMMYFUNCTION("""COMPUTED_VALUE"""),"Saaremaa")</f>
        <v>Saaremaa</v>
      </c>
      <c r="C7" s="6" t="str">
        <f ca="1">IFERROR(__xludf.DUMMYFUNCTION("""COMPUTED_VALUE"""),"M")</f>
        <v>M</v>
      </c>
      <c r="D7" s="6" t="str">
        <f ca="1">IFERROR(__xludf.DUMMYFUNCTION("""COMPUTED_VALUE"""),"25m .22 H9")</f>
        <v>25m .22 H9</v>
      </c>
      <c r="E7" s="6" t="str">
        <f ca="1">IFERROR(__xludf.DUMMYFUNCTION("""COMPUTED_VALUE"""),"Võistkond")</f>
        <v>Võistkond</v>
      </c>
      <c r="F7" s="6" t="str">
        <f ca="1">IFERROR(__xludf.DUMMYFUNCTION("""COMPUTED_VALUE"""),"09.09.23")</f>
        <v>09.09.23</v>
      </c>
      <c r="G7" s="6">
        <f ca="1">IFERROR(__xludf.DUMMYFUNCTION("""COMPUTED_VALUE"""),93)</f>
        <v>93</v>
      </c>
      <c r="H7" s="6">
        <f ca="1">IFERROR(__xludf.DUMMYFUNCTION("""COMPUTED_VALUE"""),93)</f>
        <v>93</v>
      </c>
      <c r="I7" s="6">
        <f ca="1">IFERROR(__xludf.DUMMYFUNCTION("""COMPUTED_VALUE"""),94)</f>
        <v>94</v>
      </c>
      <c r="J7" s="6"/>
      <c r="K7" s="6"/>
      <c r="L7" s="6"/>
      <c r="M7" s="6">
        <f ca="1">IFERROR(__xludf.DUMMYFUNCTION("""COMPUTED_VALUE"""),280)</f>
        <v>280</v>
      </c>
      <c r="N7" s="6">
        <f ca="1">IFERROR(__xludf.DUMMYFUNCTION("""COMPUTED_VALUE"""),280)</f>
        <v>280</v>
      </c>
    </row>
    <row r="8" spans="1:24" ht="12.75">
      <c r="A8" s="6" t="str">
        <f ca="1">IFERROR(__xludf.DUMMYFUNCTION("""COMPUTED_VALUE"""),"Kati-Ly Randviir")</f>
        <v>Kati-Ly Randviir</v>
      </c>
      <c r="B8" s="6" t="str">
        <f ca="1">IFERROR(__xludf.DUMMYFUNCTION("""COMPUTED_VALUE"""),"Viru")</f>
        <v>Viru</v>
      </c>
      <c r="C8" s="6" t="str">
        <f ca="1">IFERROR(__xludf.DUMMYFUNCTION("""COMPUTED_VALUE"""),"NJ")</f>
        <v>NJ</v>
      </c>
      <c r="D8" s="6" t="str">
        <f ca="1">IFERROR(__xludf.DUMMYFUNCTION("""COMPUTED_VALUE"""),"25m .22 H9")</f>
        <v>25m .22 H9</v>
      </c>
      <c r="E8" s="6" t="str">
        <f ca="1">IFERROR(__xludf.DUMMYFUNCTION("""COMPUTED_VALUE"""),"Võistkond")</f>
        <v>Võistkond</v>
      </c>
      <c r="F8" s="6" t="str">
        <f ca="1">IFERROR(__xludf.DUMMYFUNCTION("""COMPUTED_VALUE"""),"10.09.23")</f>
        <v>10.09.23</v>
      </c>
      <c r="G8" s="6">
        <f ca="1">IFERROR(__xludf.DUMMYFUNCTION("""COMPUTED_VALUE"""),94)</f>
        <v>94</v>
      </c>
      <c r="H8" s="6">
        <f ca="1">IFERROR(__xludf.DUMMYFUNCTION("""COMPUTED_VALUE"""),91)</f>
        <v>91</v>
      </c>
      <c r="I8" s="6">
        <f ca="1">IFERROR(__xludf.DUMMYFUNCTION("""COMPUTED_VALUE"""),95)</f>
        <v>95</v>
      </c>
      <c r="J8" s="6"/>
      <c r="K8" s="6"/>
      <c r="L8" s="6"/>
      <c r="M8" s="6">
        <f ca="1">IFERROR(__xludf.DUMMYFUNCTION("""COMPUTED_VALUE"""),280)</f>
        <v>280</v>
      </c>
      <c r="N8" s="6">
        <f ca="1">IFERROR(__xludf.DUMMYFUNCTION("""COMPUTED_VALUE"""),280)</f>
        <v>280</v>
      </c>
    </row>
    <row r="9" spans="1:24" ht="12.75">
      <c r="A9" s="6" t="str">
        <f ca="1">IFERROR(__xludf.DUMMYFUNCTION("""COMPUTED_VALUE"""),"Veera Rumjantseva")</f>
        <v>Veera Rumjantseva</v>
      </c>
      <c r="B9" s="6" t="str">
        <f ca="1">IFERROR(__xludf.DUMMYFUNCTION("""COMPUTED_VALUE"""),"Alutaguse")</f>
        <v>Alutaguse</v>
      </c>
      <c r="C9" s="6" t="str">
        <f ca="1">IFERROR(__xludf.DUMMYFUNCTION("""COMPUTED_VALUE"""),"N")</f>
        <v>N</v>
      </c>
      <c r="D9" s="6" t="str">
        <f ca="1">IFERROR(__xludf.DUMMYFUNCTION("""COMPUTED_VALUE"""),"25m .22 H9")</f>
        <v>25m .22 H9</v>
      </c>
      <c r="E9" s="6" t="str">
        <f ca="1">IFERROR(__xludf.DUMMYFUNCTION("""COMPUTED_VALUE"""),"Võistkond")</f>
        <v>Võistkond</v>
      </c>
      <c r="F9" s="6" t="str">
        <f ca="1">IFERROR(__xludf.DUMMYFUNCTION("""COMPUTED_VALUE"""),"09.09.23")</f>
        <v>09.09.23</v>
      </c>
      <c r="G9" s="6">
        <f ca="1">IFERROR(__xludf.DUMMYFUNCTION("""COMPUTED_VALUE"""),91)</f>
        <v>91</v>
      </c>
      <c r="H9" s="6">
        <f ca="1">IFERROR(__xludf.DUMMYFUNCTION("""COMPUTED_VALUE"""),96)</f>
        <v>96</v>
      </c>
      <c r="I9" s="6">
        <f ca="1">IFERROR(__xludf.DUMMYFUNCTION("""COMPUTED_VALUE"""),92)</f>
        <v>92</v>
      </c>
      <c r="J9" s="6"/>
      <c r="K9" s="6"/>
      <c r="L9" s="6"/>
      <c r="M9" s="6">
        <f ca="1">IFERROR(__xludf.DUMMYFUNCTION("""COMPUTED_VALUE"""),279)</f>
        <v>279</v>
      </c>
      <c r="N9" s="6">
        <f ca="1">IFERROR(__xludf.DUMMYFUNCTION("""COMPUTED_VALUE"""),279)</f>
        <v>279</v>
      </c>
    </row>
    <row r="10" spans="1:24" ht="12.75">
      <c r="A10" s="6" t="str">
        <f ca="1">IFERROR(__xludf.DUMMYFUNCTION("""COMPUTED_VALUE"""),"Aleksander Kalitventsev")</f>
        <v>Aleksander Kalitventsev</v>
      </c>
      <c r="B10" s="6" t="str">
        <f ca="1">IFERROR(__xludf.DUMMYFUNCTION("""COMPUTED_VALUE"""),"Sakala")</f>
        <v>Sakala</v>
      </c>
      <c r="C10" s="6" t="str">
        <f ca="1">IFERROR(__xludf.DUMMYFUNCTION("""COMPUTED_VALUE"""),"MJ")</f>
        <v>MJ</v>
      </c>
      <c r="D10" s="6" t="str">
        <f ca="1">IFERROR(__xludf.DUMMYFUNCTION("""COMPUTED_VALUE"""),"25m .22 H9")</f>
        <v>25m .22 H9</v>
      </c>
      <c r="E10" s="6" t="str">
        <f ca="1">IFERROR(__xludf.DUMMYFUNCTION("""COMPUTED_VALUE"""),"Võistkond")</f>
        <v>Võistkond</v>
      </c>
      <c r="F10" s="6" t="str">
        <f ca="1">IFERROR(__xludf.DUMMYFUNCTION("""COMPUTED_VALUE"""),"10.09.23")</f>
        <v>10.09.23</v>
      </c>
      <c r="G10" s="6">
        <f ca="1">IFERROR(__xludf.DUMMYFUNCTION("""COMPUTED_VALUE"""),94)</f>
        <v>94</v>
      </c>
      <c r="H10" s="6">
        <f ca="1">IFERROR(__xludf.DUMMYFUNCTION("""COMPUTED_VALUE"""),91)</f>
        <v>91</v>
      </c>
      <c r="I10" s="6">
        <f ca="1">IFERROR(__xludf.DUMMYFUNCTION("""COMPUTED_VALUE"""),94)</f>
        <v>94</v>
      </c>
      <c r="J10" s="6"/>
      <c r="K10" s="6"/>
      <c r="L10" s="6"/>
      <c r="M10" s="6">
        <f ca="1">IFERROR(__xludf.DUMMYFUNCTION("""COMPUTED_VALUE"""),279)</f>
        <v>279</v>
      </c>
      <c r="N10" s="6">
        <f ca="1">IFERROR(__xludf.DUMMYFUNCTION("""COMPUTED_VALUE"""),279)</f>
        <v>279</v>
      </c>
    </row>
    <row r="11" spans="1:24" ht="12.75">
      <c r="A11" s="6" t="str">
        <f ca="1">IFERROR(__xludf.DUMMYFUNCTION("""COMPUTED_VALUE"""),"Ivar Tallerman")</f>
        <v>Ivar Tallerman</v>
      </c>
      <c r="B11" s="6" t="str">
        <f ca="1">IFERROR(__xludf.DUMMYFUNCTION("""COMPUTED_VALUE"""),"Alutaguse")</f>
        <v>Alutaguse</v>
      </c>
      <c r="C11" s="6" t="str">
        <f ca="1">IFERROR(__xludf.DUMMYFUNCTION("""COMPUTED_VALUE"""),"M")</f>
        <v>M</v>
      </c>
      <c r="D11" s="6" t="str">
        <f ca="1">IFERROR(__xludf.DUMMYFUNCTION("""COMPUTED_VALUE"""),"25m .22 H9")</f>
        <v>25m .22 H9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IFERROR(__xludf.DUMMYFUNCTION("""COMPUTED_VALUE"""),94)</f>
        <v>94</v>
      </c>
      <c r="H11" s="6">
        <f ca="1">IFERROR(__xludf.DUMMYFUNCTION("""COMPUTED_VALUE"""),92)</f>
        <v>92</v>
      </c>
      <c r="I11" s="6">
        <f ca="1">IFERROR(__xludf.DUMMYFUNCTION("""COMPUTED_VALUE"""),92)</f>
        <v>92</v>
      </c>
      <c r="J11" s="6"/>
      <c r="K11" s="6"/>
      <c r="L11" s="6"/>
      <c r="M11" s="6">
        <f ca="1">IFERROR(__xludf.DUMMYFUNCTION("""COMPUTED_VALUE"""),278)</f>
        <v>278</v>
      </c>
      <c r="N11" s="6">
        <f ca="1">IFERROR(__xludf.DUMMYFUNCTION("""COMPUTED_VALUE"""),278)</f>
        <v>278</v>
      </c>
    </row>
    <row r="12" spans="1:24" ht="12.75">
      <c r="A12" s="6" t="str">
        <f ca="1">IFERROR(__xludf.DUMMYFUNCTION("""COMPUTED_VALUE"""),"Viia Kaldam")</f>
        <v>Viia Kaldam</v>
      </c>
      <c r="B12" s="6" t="str">
        <f ca="1">IFERROR(__xludf.DUMMYFUNCTION("""COMPUTED_VALUE"""),"Valgamaa")</f>
        <v>Valgamaa</v>
      </c>
      <c r="C12" s="6" t="str">
        <f ca="1">IFERROR(__xludf.DUMMYFUNCTION("""COMPUTED_VALUE"""),"N")</f>
        <v>N</v>
      </c>
      <c r="D12" s="6" t="str">
        <f ca="1">IFERROR(__xludf.DUMMYFUNCTION("""COMPUTED_VALUE"""),"25m .22 H9")</f>
        <v>25m .22 H9</v>
      </c>
      <c r="E12" s="6" t="str">
        <f ca="1">IFERROR(__xludf.DUMMYFUNCTION("""COMPUTED_VALUE"""),"Võistkond")</f>
        <v>Võistkond</v>
      </c>
      <c r="F12" s="6" t="str">
        <f ca="1">IFERROR(__xludf.DUMMYFUNCTION("""COMPUTED_VALUE"""),"09.09.23")</f>
        <v>09.09.23</v>
      </c>
      <c r="G12" s="6">
        <f ca="1">IFERROR(__xludf.DUMMYFUNCTION("""COMPUTED_VALUE"""),94)</f>
        <v>94</v>
      </c>
      <c r="H12" s="6">
        <f ca="1">IFERROR(__xludf.DUMMYFUNCTION("""COMPUTED_VALUE"""),93)</f>
        <v>93</v>
      </c>
      <c r="I12" s="6">
        <f ca="1">IFERROR(__xludf.DUMMYFUNCTION("""COMPUTED_VALUE"""),91)</f>
        <v>91</v>
      </c>
      <c r="J12" s="6"/>
      <c r="K12" s="6"/>
      <c r="L12" s="6"/>
      <c r="M12" s="6">
        <f ca="1">IFERROR(__xludf.DUMMYFUNCTION("""COMPUTED_VALUE"""),278)</f>
        <v>278</v>
      </c>
      <c r="N12" s="6">
        <f ca="1">IFERROR(__xludf.DUMMYFUNCTION("""COMPUTED_VALUE"""),278)</f>
        <v>278</v>
      </c>
    </row>
    <row r="13" spans="1:24" ht="12.75">
      <c r="A13" s="6" t="str">
        <f ca="1">IFERROR(__xludf.DUMMYFUNCTION("""COMPUTED_VALUE"""),"Tatiana Mikhailova")</f>
        <v>Tatiana Mikhailova</v>
      </c>
      <c r="B13" s="6" t="str">
        <f ca="1">IFERROR(__xludf.DUMMYFUNCTION("""COMPUTED_VALUE"""),"Alutaguse")</f>
        <v>Alutaguse</v>
      </c>
      <c r="C13" s="6" t="str">
        <f ca="1">IFERROR(__xludf.DUMMYFUNCTION("""COMPUTED_VALUE"""),"NJ")</f>
        <v>NJ</v>
      </c>
      <c r="D13" s="6" t="str">
        <f ca="1">IFERROR(__xludf.DUMMYFUNCTION("""COMPUTED_VALUE"""),"25m .22 H9")</f>
        <v>25m .22 H9</v>
      </c>
      <c r="E13" s="6" t="str">
        <f ca="1">IFERROR(__xludf.DUMMYFUNCTION("""COMPUTED_VALUE"""),"Võistkond")</f>
        <v>Võistkond</v>
      </c>
      <c r="F13" s="6" t="str">
        <f ca="1">IFERROR(__xludf.DUMMYFUNCTION("""COMPUTED_VALUE"""),"09.09.23")</f>
        <v>09.09.23</v>
      </c>
      <c r="G13" s="6">
        <f ca="1">IFERROR(__xludf.DUMMYFUNCTION("""COMPUTED_VALUE"""),86)</f>
        <v>86</v>
      </c>
      <c r="H13" s="6">
        <f ca="1">IFERROR(__xludf.DUMMYFUNCTION("""COMPUTED_VALUE"""),93)</f>
        <v>93</v>
      </c>
      <c r="I13" s="6">
        <f ca="1">IFERROR(__xludf.DUMMYFUNCTION("""COMPUTED_VALUE"""),95)</f>
        <v>95</v>
      </c>
      <c r="J13" s="6"/>
      <c r="K13" s="6"/>
      <c r="L13" s="6"/>
      <c r="M13" s="6">
        <f ca="1">IFERROR(__xludf.DUMMYFUNCTION("""COMPUTED_VALUE"""),274)</f>
        <v>274</v>
      </c>
      <c r="N13" s="6">
        <f ca="1">IFERROR(__xludf.DUMMYFUNCTION("""COMPUTED_VALUE"""),274)</f>
        <v>274</v>
      </c>
    </row>
    <row r="14" spans="1:24" ht="12.75">
      <c r="A14" s="6" t="str">
        <f ca="1">IFERROR(__xludf.DUMMYFUNCTION("""COMPUTED_VALUE"""),"Ragnar Puio")</f>
        <v>Ragnar Puio</v>
      </c>
      <c r="B14" s="6" t="str">
        <f ca="1">IFERROR(__xludf.DUMMYFUNCTION("""COMPUTED_VALUE"""),"Tallinn")</f>
        <v>Tallinn</v>
      </c>
      <c r="C14" s="6" t="str">
        <f ca="1">IFERROR(__xludf.DUMMYFUNCTION("""COMPUTED_VALUE"""),"MJ")</f>
        <v>MJ</v>
      </c>
      <c r="D14" s="6" t="str">
        <f ca="1">IFERROR(__xludf.DUMMYFUNCTION("""COMPUTED_VALUE"""),"25m .22 H9")</f>
        <v>25m .22 H9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IFERROR(__xludf.DUMMYFUNCTION("""COMPUTED_VALUE"""),90)</f>
        <v>90</v>
      </c>
      <c r="H14" s="6">
        <f ca="1">IFERROR(__xludf.DUMMYFUNCTION("""COMPUTED_VALUE"""),90)</f>
        <v>90</v>
      </c>
      <c r="I14" s="6">
        <f ca="1">IFERROR(__xludf.DUMMYFUNCTION("""COMPUTED_VALUE"""),94)</f>
        <v>94</v>
      </c>
      <c r="J14" s="6"/>
      <c r="K14" s="6"/>
      <c r="L14" s="6"/>
      <c r="M14" s="6">
        <f ca="1">IFERROR(__xludf.DUMMYFUNCTION("""COMPUTED_VALUE"""),274)</f>
        <v>274</v>
      </c>
      <c r="N14" s="6">
        <f ca="1">IFERROR(__xludf.DUMMYFUNCTION("""COMPUTED_VALUE"""),274)</f>
        <v>274</v>
      </c>
    </row>
    <row r="15" spans="1:24" ht="12.75">
      <c r="A15" s="6" t="str">
        <f ca="1">IFERROR(__xludf.DUMMYFUNCTION("""COMPUTED_VALUE"""),"Peeter Puio")</f>
        <v>Peeter Puio</v>
      </c>
      <c r="B15" s="6" t="str">
        <f ca="1">IFERROR(__xludf.DUMMYFUNCTION("""COMPUTED_VALUE"""),"Tallinn")</f>
        <v>Tallinn</v>
      </c>
      <c r="C15" s="6" t="str">
        <f ca="1">IFERROR(__xludf.DUMMYFUNCTION("""COMPUTED_VALUE"""),"M")</f>
        <v>M</v>
      </c>
      <c r="D15" s="6" t="str">
        <f ca="1">IFERROR(__xludf.DUMMYFUNCTION("""COMPUTED_VALUE"""),"25m .22 H9")</f>
        <v>25m .22 H9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IFERROR(__xludf.DUMMYFUNCTION("""COMPUTED_VALUE"""),92)</f>
        <v>92</v>
      </c>
      <c r="H15" s="6">
        <f ca="1">IFERROR(__xludf.DUMMYFUNCTION("""COMPUTED_VALUE"""),91)</f>
        <v>91</v>
      </c>
      <c r="I15" s="6">
        <f ca="1">IFERROR(__xludf.DUMMYFUNCTION("""COMPUTED_VALUE"""),89)</f>
        <v>89</v>
      </c>
      <c r="J15" s="6"/>
      <c r="K15" s="6"/>
      <c r="L15" s="6"/>
      <c r="M15" s="6">
        <f ca="1">IFERROR(__xludf.DUMMYFUNCTION("""COMPUTED_VALUE"""),272)</f>
        <v>272</v>
      </c>
      <c r="N15" s="6">
        <f ca="1">IFERROR(__xludf.DUMMYFUNCTION("""COMPUTED_VALUE"""),272)</f>
        <v>272</v>
      </c>
    </row>
    <row r="16" spans="1:24" ht="12.75">
      <c r="A16" s="6" t="str">
        <f ca="1">IFERROR(__xludf.DUMMYFUNCTION("""COMPUTED_VALUE"""),"Elerin Ross")</f>
        <v>Elerin Ross</v>
      </c>
      <c r="B16" s="6" t="str">
        <f ca="1">IFERROR(__xludf.DUMMYFUNCTION("""COMPUTED_VALUE"""),"Tartu")</f>
        <v>Tartu</v>
      </c>
      <c r="C16" s="6" t="str">
        <f ca="1">IFERROR(__xludf.DUMMYFUNCTION("""COMPUTED_VALUE"""),"NJ")</f>
        <v>NJ</v>
      </c>
      <c r="D16" s="6" t="str">
        <f ca="1">IFERROR(__xludf.DUMMYFUNCTION("""COMPUTED_VALUE"""),"25m .22 H9")</f>
        <v>25m .22 H9</v>
      </c>
      <c r="E16" s="6" t="str">
        <f ca="1">IFERROR(__xludf.DUMMYFUNCTION("""COMPUTED_VALUE"""),"Võistkond")</f>
        <v>Võistkond</v>
      </c>
      <c r="F16" s="6" t="str">
        <f ca="1">IFERROR(__xludf.DUMMYFUNCTION("""COMPUTED_VALUE"""),"10.09.23")</f>
        <v>10.09.23</v>
      </c>
      <c r="G16" s="6">
        <f ca="1">IFERROR(__xludf.DUMMYFUNCTION("""COMPUTED_VALUE"""),91)</f>
        <v>91</v>
      </c>
      <c r="H16" s="6">
        <f ca="1">IFERROR(__xludf.DUMMYFUNCTION("""COMPUTED_VALUE"""),90)</f>
        <v>90</v>
      </c>
      <c r="I16" s="6">
        <f ca="1">IFERROR(__xludf.DUMMYFUNCTION("""COMPUTED_VALUE"""),91)</f>
        <v>91</v>
      </c>
      <c r="J16" s="6"/>
      <c r="K16" s="6"/>
      <c r="L16" s="6"/>
      <c r="M16" s="6">
        <f ca="1">IFERROR(__xludf.DUMMYFUNCTION("""COMPUTED_VALUE"""),272)</f>
        <v>272</v>
      </c>
      <c r="N16" s="6">
        <f ca="1">IFERROR(__xludf.DUMMYFUNCTION("""COMPUTED_VALUE"""),272)</f>
        <v>272</v>
      </c>
    </row>
    <row r="17" spans="1:14" ht="12.75">
      <c r="A17" s="6" t="str">
        <f ca="1">IFERROR(__xludf.DUMMYFUNCTION("""COMPUTED_VALUE"""),"Fred Raukas")</f>
        <v>Fred Raukas</v>
      </c>
      <c r="B17" s="6" t="str">
        <f ca="1">IFERROR(__xludf.DUMMYFUNCTION("""COMPUTED_VALUE"""),"Tallinn")</f>
        <v>Tallinn</v>
      </c>
      <c r="C17" s="6" t="str">
        <f ca="1">IFERROR(__xludf.DUMMYFUNCTION("""COMPUTED_VALUE"""),"M")</f>
        <v>M</v>
      </c>
      <c r="D17" s="6" t="str">
        <f ca="1">IFERROR(__xludf.DUMMYFUNCTION("""COMPUTED_VALUE"""),"25m .22 H9")</f>
        <v>25m .22 H9</v>
      </c>
      <c r="E17" s="6" t="str">
        <f ca="1">IFERROR(__xludf.DUMMYFUNCTION("""COMPUTED_VALUE"""),"Individuaalne")</f>
        <v>Individuaalne</v>
      </c>
      <c r="F17" s="6" t="str">
        <f ca="1">IFERROR(__xludf.DUMMYFUNCTION("""COMPUTED_VALUE"""),"09.09.23")</f>
        <v>09.09.23</v>
      </c>
      <c r="G17" s="6">
        <f ca="1">IFERROR(__xludf.DUMMYFUNCTION("""COMPUTED_VALUE"""),89)</f>
        <v>89</v>
      </c>
      <c r="H17" s="6">
        <f ca="1">IFERROR(__xludf.DUMMYFUNCTION("""COMPUTED_VALUE"""),89)</f>
        <v>89</v>
      </c>
      <c r="I17" s="6">
        <f ca="1">IFERROR(__xludf.DUMMYFUNCTION("""COMPUTED_VALUE"""),93)</f>
        <v>93</v>
      </c>
      <c r="J17" s="6"/>
      <c r="K17" s="6"/>
      <c r="L17" s="6"/>
      <c r="M17" s="6">
        <f ca="1">IFERROR(__xludf.DUMMYFUNCTION("""COMPUTED_VALUE"""),271)</f>
        <v>271</v>
      </c>
      <c r="N17" s="6"/>
    </row>
    <row r="18" spans="1:14" ht="12.75">
      <c r="A18" s="6" t="str">
        <f ca="1">IFERROR(__xludf.DUMMYFUNCTION("""COMPUTED_VALUE"""),"Kaire Taar")</f>
        <v>Kaire Taar</v>
      </c>
      <c r="B18" s="6" t="str">
        <f ca="1">IFERROR(__xludf.DUMMYFUNCTION("""COMPUTED_VALUE"""),"Harju")</f>
        <v>Harju</v>
      </c>
      <c r="C18" s="6" t="str">
        <f ca="1">IFERROR(__xludf.DUMMYFUNCTION("""COMPUTED_VALUE"""),"N")</f>
        <v>N</v>
      </c>
      <c r="D18" s="6" t="str">
        <f ca="1">IFERROR(__xludf.DUMMYFUNCTION("""COMPUTED_VALUE"""),"25m .22 H9")</f>
        <v>25m .22 H9</v>
      </c>
      <c r="E18" s="6" t="str">
        <f ca="1">IFERROR(__xludf.DUMMYFUNCTION("""COMPUTED_VALUE"""),"Individuaalne")</f>
        <v>Individuaalne</v>
      </c>
      <c r="F18" s="6" t="str">
        <f ca="1">IFERROR(__xludf.DUMMYFUNCTION("""COMPUTED_VALUE"""),"10.09.23")</f>
        <v>10.09.23</v>
      </c>
      <c r="G18" s="6">
        <f ca="1">IFERROR(__xludf.DUMMYFUNCTION("""COMPUTED_VALUE"""),88)</f>
        <v>88</v>
      </c>
      <c r="H18" s="6">
        <f ca="1">IFERROR(__xludf.DUMMYFUNCTION("""COMPUTED_VALUE"""),90)</f>
        <v>90</v>
      </c>
      <c r="I18" s="6">
        <f ca="1">IFERROR(__xludf.DUMMYFUNCTION("""COMPUTED_VALUE"""),93)</f>
        <v>93</v>
      </c>
      <c r="J18" s="6"/>
      <c r="K18" s="6"/>
      <c r="L18" s="6"/>
      <c r="M18" s="6">
        <f ca="1">IFERROR(__xludf.DUMMYFUNCTION("""COMPUTED_VALUE"""),271)</f>
        <v>271</v>
      </c>
      <c r="N18" s="6"/>
    </row>
    <row r="19" spans="1:14" ht="12.75">
      <c r="A19" s="6" t="str">
        <f ca="1">IFERROR(__xludf.DUMMYFUNCTION("""COMPUTED_VALUE"""),"Kahrut Märss")</f>
        <v>Kahrut Märss</v>
      </c>
      <c r="B19" s="6" t="str">
        <f ca="1">IFERROR(__xludf.DUMMYFUNCTION("""COMPUTED_VALUE"""),"Tallinn")</f>
        <v>Tallinn</v>
      </c>
      <c r="C19" s="6" t="str">
        <f ca="1">IFERROR(__xludf.DUMMYFUNCTION("""COMPUTED_VALUE"""),"MJ")</f>
        <v>MJ</v>
      </c>
      <c r="D19" s="6" t="str">
        <f ca="1">IFERROR(__xludf.DUMMYFUNCTION("""COMPUTED_VALUE"""),"25m .22 H9")</f>
        <v>25m .22 H9</v>
      </c>
      <c r="E19" s="6" t="str">
        <f ca="1">IFERROR(__xludf.DUMMYFUNCTION("""COMPUTED_VALUE"""),"Individuaalne")</f>
        <v>Individuaalne</v>
      </c>
      <c r="F19" s="6" t="str">
        <f ca="1">IFERROR(__xludf.DUMMYFUNCTION("""COMPUTED_VALUE"""),"09.09.23")</f>
        <v>09.09.23</v>
      </c>
      <c r="G19" s="6">
        <f ca="1">IFERROR(__xludf.DUMMYFUNCTION("""COMPUTED_VALUE"""),92)</f>
        <v>92</v>
      </c>
      <c r="H19" s="6">
        <f ca="1">IFERROR(__xludf.DUMMYFUNCTION("""COMPUTED_VALUE"""),88)</f>
        <v>88</v>
      </c>
      <c r="I19" s="6">
        <f ca="1">IFERROR(__xludf.DUMMYFUNCTION("""COMPUTED_VALUE"""),89)</f>
        <v>89</v>
      </c>
      <c r="J19" s="6"/>
      <c r="K19" s="6"/>
      <c r="L19" s="6"/>
      <c r="M19" s="6">
        <f ca="1">IFERROR(__xludf.DUMMYFUNCTION("""COMPUTED_VALUE"""),269)</f>
        <v>269</v>
      </c>
      <c r="N19" s="6"/>
    </row>
    <row r="20" spans="1:14" ht="12.75">
      <c r="A20" s="6" t="str">
        <f ca="1">IFERROR(__xludf.DUMMYFUNCTION("""COMPUTED_VALUE"""),"Jaanus Raidlo")</f>
        <v>Jaanus Raidlo</v>
      </c>
      <c r="B20" s="6" t="str">
        <f ca="1">IFERROR(__xludf.DUMMYFUNCTION("""COMPUTED_VALUE"""),"Viru")</f>
        <v>Viru</v>
      </c>
      <c r="C20" s="6" t="str">
        <f ca="1">IFERROR(__xludf.DUMMYFUNCTION("""COMPUTED_VALUE"""),"M")</f>
        <v>M</v>
      </c>
      <c r="D20" s="6" t="str">
        <f ca="1">IFERROR(__xludf.DUMMYFUNCTION("""COMPUTED_VALUE"""),"25m .22 H9")</f>
        <v>25m .22 H9</v>
      </c>
      <c r="E20" s="6" t="str">
        <f ca="1">IFERROR(__xludf.DUMMYFUNCTION("""COMPUTED_VALUE"""),"Võistkond")</f>
        <v>Võistkond</v>
      </c>
      <c r="F20" s="6" t="str">
        <f ca="1">IFERROR(__xludf.DUMMYFUNCTION("""COMPUTED_VALUE"""),"10.09.23")</f>
        <v>10.09.23</v>
      </c>
      <c r="G20" s="6">
        <f ca="1">IFERROR(__xludf.DUMMYFUNCTION("""COMPUTED_VALUE"""),88)</f>
        <v>88</v>
      </c>
      <c r="H20" s="6">
        <f ca="1">IFERROR(__xludf.DUMMYFUNCTION("""COMPUTED_VALUE"""),86)</f>
        <v>86</v>
      </c>
      <c r="I20" s="6">
        <f ca="1">IFERROR(__xludf.DUMMYFUNCTION("""COMPUTED_VALUE"""),93)</f>
        <v>93</v>
      </c>
      <c r="J20" s="6"/>
      <c r="K20" s="6"/>
      <c r="L20" s="6"/>
      <c r="M20" s="6">
        <f ca="1">IFERROR(__xludf.DUMMYFUNCTION("""COMPUTED_VALUE"""),267)</f>
        <v>267</v>
      </c>
      <c r="N20" s="6">
        <f ca="1">IFERROR(__xludf.DUMMYFUNCTION("""COMPUTED_VALUE"""),267)</f>
        <v>267</v>
      </c>
    </row>
    <row r="21" spans="1:14" ht="12.75">
      <c r="A21" s="6" t="str">
        <f ca="1">IFERROR(__xludf.DUMMYFUNCTION("""COMPUTED_VALUE"""),"Andres Ojalt")</f>
        <v>Andres Ojalt</v>
      </c>
      <c r="B21" s="6" t="str">
        <f ca="1">IFERROR(__xludf.DUMMYFUNCTION("""COMPUTED_VALUE"""),"Lääne")</f>
        <v>Lääne</v>
      </c>
      <c r="C21" s="6" t="str">
        <f ca="1">IFERROR(__xludf.DUMMYFUNCTION("""COMPUTED_VALUE"""),"M")</f>
        <v>M</v>
      </c>
      <c r="D21" s="6" t="str">
        <f ca="1">IFERROR(__xludf.DUMMYFUNCTION("""COMPUTED_VALUE"""),"25m .22 H9")</f>
        <v>25m .22 H9</v>
      </c>
      <c r="E21" s="6" t="str">
        <f ca="1">IFERROR(__xludf.DUMMYFUNCTION("""COMPUTED_VALUE"""),"Võistkond")</f>
        <v>Võistkond</v>
      </c>
      <c r="F21" s="6" t="str">
        <f ca="1">IFERROR(__xludf.DUMMYFUNCTION("""COMPUTED_VALUE"""),"09.09.23")</f>
        <v>09.09.23</v>
      </c>
      <c r="G21" s="6">
        <f ca="1">IFERROR(__xludf.DUMMYFUNCTION("""COMPUTED_VALUE"""),84)</f>
        <v>84</v>
      </c>
      <c r="H21" s="6">
        <f ca="1">IFERROR(__xludf.DUMMYFUNCTION("""COMPUTED_VALUE"""),90)</f>
        <v>90</v>
      </c>
      <c r="I21" s="6">
        <f ca="1">IFERROR(__xludf.DUMMYFUNCTION("""COMPUTED_VALUE"""),89)</f>
        <v>89</v>
      </c>
      <c r="J21" s="6"/>
      <c r="K21" s="6"/>
      <c r="L21" s="6"/>
      <c r="M21" s="6">
        <f ca="1">IFERROR(__xludf.DUMMYFUNCTION("""COMPUTED_VALUE"""),263)</f>
        <v>263</v>
      </c>
      <c r="N21" s="6">
        <f ca="1">IFERROR(__xludf.DUMMYFUNCTION("""COMPUTED_VALUE"""),263)</f>
        <v>263</v>
      </c>
    </row>
    <row r="22" spans="1:14" ht="12.75">
      <c r="A22" s="6" t="str">
        <f ca="1">IFERROR(__xludf.DUMMYFUNCTION("""COMPUTED_VALUE"""),"Liselle Laurits")</f>
        <v>Liselle Laurits</v>
      </c>
      <c r="B22" s="6" t="str">
        <f ca="1">IFERROR(__xludf.DUMMYFUNCTION("""COMPUTED_VALUE"""),"Saaremaa")</f>
        <v>Saaremaa</v>
      </c>
      <c r="C22" s="6" t="str">
        <f ca="1">IFERROR(__xludf.DUMMYFUNCTION("""COMPUTED_VALUE"""),"N")</f>
        <v>N</v>
      </c>
      <c r="D22" s="6" t="str">
        <f ca="1">IFERROR(__xludf.DUMMYFUNCTION("""COMPUTED_VALUE"""),"25m .22 H9")</f>
        <v>25m .22 H9</v>
      </c>
      <c r="E22" s="6" t="str">
        <f ca="1">IFERROR(__xludf.DUMMYFUNCTION("""COMPUTED_VALUE"""),"Võistkond")</f>
        <v>Võistkond</v>
      </c>
      <c r="F22" s="6" t="str">
        <f ca="1">IFERROR(__xludf.DUMMYFUNCTION("""COMPUTED_VALUE"""),"09.09.23")</f>
        <v>09.09.23</v>
      </c>
      <c r="G22" s="6">
        <f ca="1">IFERROR(__xludf.DUMMYFUNCTION("""COMPUTED_VALUE"""),90)</f>
        <v>90</v>
      </c>
      <c r="H22" s="6">
        <f ca="1">IFERROR(__xludf.DUMMYFUNCTION("""COMPUTED_VALUE"""),84)</f>
        <v>84</v>
      </c>
      <c r="I22" s="6">
        <f ca="1">IFERROR(__xludf.DUMMYFUNCTION("""COMPUTED_VALUE"""),89)</f>
        <v>89</v>
      </c>
      <c r="J22" s="6"/>
      <c r="K22" s="6"/>
      <c r="L22" s="6"/>
      <c r="M22" s="6">
        <f ca="1">IFERROR(__xludf.DUMMYFUNCTION("""COMPUTED_VALUE"""),263)</f>
        <v>263</v>
      </c>
      <c r="N22" s="6">
        <f ca="1">IFERROR(__xludf.DUMMYFUNCTION("""COMPUTED_VALUE"""),263)</f>
        <v>263</v>
      </c>
    </row>
    <row r="23" spans="1:14" ht="12.75">
      <c r="A23" s="6" t="str">
        <f ca="1">IFERROR(__xludf.DUMMYFUNCTION("""COMPUTED_VALUE"""),"Ott Ottisaar")</f>
        <v>Ott Ottisaar</v>
      </c>
      <c r="B23" s="6" t="str">
        <f ca="1">IFERROR(__xludf.DUMMYFUNCTION("""COMPUTED_VALUE"""),"Järva")</f>
        <v>Järva</v>
      </c>
      <c r="C23" s="6" t="str">
        <f ca="1">IFERROR(__xludf.DUMMYFUNCTION("""COMPUTED_VALUE"""),"MJ")</f>
        <v>MJ</v>
      </c>
      <c r="D23" s="6" t="str">
        <f ca="1">IFERROR(__xludf.DUMMYFUNCTION("""COMPUTED_VALUE"""),"25m .22 H9")</f>
        <v>25m .22 H9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IFERROR(__xludf.DUMMYFUNCTION("""COMPUTED_VALUE"""),78)</f>
        <v>78</v>
      </c>
      <c r="H23" s="6">
        <f ca="1">IFERROR(__xludf.DUMMYFUNCTION("""COMPUTED_VALUE"""),92)</f>
        <v>92</v>
      </c>
      <c r="I23" s="6">
        <f ca="1">IFERROR(__xludf.DUMMYFUNCTION("""COMPUTED_VALUE"""),91)</f>
        <v>91</v>
      </c>
      <c r="J23" s="6"/>
      <c r="K23" s="6"/>
      <c r="L23" s="6"/>
      <c r="M23" s="6">
        <f ca="1">IFERROR(__xludf.DUMMYFUNCTION("""COMPUTED_VALUE"""),261)</f>
        <v>261</v>
      </c>
      <c r="N23" s="6">
        <f ca="1">IFERROR(__xludf.DUMMYFUNCTION("""COMPUTED_VALUE"""),261)</f>
        <v>261</v>
      </c>
    </row>
    <row r="24" spans="1:14" ht="12.75">
      <c r="A24" s="6" t="str">
        <f ca="1">IFERROR(__xludf.DUMMYFUNCTION("""COMPUTED_VALUE"""),"Maret Härm-Tilk")</f>
        <v>Maret Härm-Tilk</v>
      </c>
      <c r="B24" s="6" t="str">
        <f ca="1">IFERROR(__xludf.DUMMYFUNCTION("""COMPUTED_VALUE"""),"Lääne")</f>
        <v>Lääne</v>
      </c>
      <c r="C24" s="6" t="str">
        <f ca="1">IFERROR(__xludf.DUMMYFUNCTION("""COMPUTED_VALUE"""),"N")</f>
        <v>N</v>
      </c>
      <c r="D24" s="6" t="str">
        <f ca="1">IFERROR(__xludf.DUMMYFUNCTION("""COMPUTED_VALUE"""),"25m .22 H9")</f>
        <v>25m .22 H9</v>
      </c>
      <c r="E24" s="6" t="str">
        <f ca="1">IFERROR(__xludf.DUMMYFUNCTION("""COMPUTED_VALUE"""),"Võistkond")</f>
        <v>Võistkond</v>
      </c>
      <c r="F24" s="6" t="str">
        <f ca="1">IFERROR(__xludf.DUMMYFUNCTION("""COMPUTED_VALUE"""),"10.09.23")</f>
        <v>10.09.23</v>
      </c>
      <c r="G24" s="6">
        <f ca="1">IFERROR(__xludf.DUMMYFUNCTION("""COMPUTED_VALUE"""),86)</f>
        <v>86</v>
      </c>
      <c r="H24" s="6">
        <f ca="1">IFERROR(__xludf.DUMMYFUNCTION("""COMPUTED_VALUE"""),86)</f>
        <v>86</v>
      </c>
      <c r="I24" s="6">
        <f ca="1">IFERROR(__xludf.DUMMYFUNCTION("""COMPUTED_VALUE"""),89)</f>
        <v>89</v>
      </c>
      <c r="J24" s="6"/>
      <c r="K24" s="6"/>
      <c r="L24" s="6"/>
      <c r="M24" s="6">
        <f ca="1">IFERROR(__xludf.DUMMYFUNCTION("""COMPUTED_VALUE"""),261)</f>
        <v>261</v>
      </c>
      <c r="N24" s="6">
        <f ca="1">IFERROR(__xludf.DUMMYFUNCTION("""COMPUTED_VALUE"""),261)</f>
        <v>261</v>
      </c>
    </row>
    <row r="25" spans="1:14" ht="12.75">
      <c r="A25" s="6" t="str">
        <f ca="1">IFERROR(__xludf.DUMMYFUNCTION("""COMPUTED_VALUE"""),"Argo Larionov")</f>
        <v>Argo Larionov</v>
      </c>
      <c r="B25" s="6" t="str">
        <f ca="1">IFERROR(__xludf.DUMMYFUNCTION("""COMPUTED_VALUE"""),"Viru")</f>
        <v>Viru</v>
      </c>
      <c r="C25" s="6" t="str">
        <f ca="1">IFERROR(__xludf.DUMMYFUNCTION("""COMPUTED_VALUE"""),"MJ")</f>
        <v>MJ</v>
      </c>
      <c r="D25" s="6" t="str">
        <f ca="1">IFERROR(__xludf.DUMMYFUNCTION("""COMPUTED_VALUE"""),"25m .22 H9")</f>
        <v>25m .22 H9</v>
      </c>
      <c r="E25" s="6" t="str">
        <f ca="1">IFERROR(__xludf.DUMMYFUNCTION("""COMPUTED_VALUE"""),"Võistkond")</f>
        <v>Võistkond</v>
      </c>
      <c r="F25" s="6" t="str">
        <f ca="1">IFERROR(__xludf.DUMMYFUNCTION("""COMPUTED_VALUE"""),"10.09.23")</f>
        <v>10.09.23</v>
      </c>
      <c r="G25" s="6">
        <f ca="1">IFERROR(__xludf.DUMMYFUNCTION("""COMPUTED_VALUE"""),91)</f>
        <v>91</v>
      </c>
      <c r="H25" s="6">
        <f ca="1">IFERROR(__xludf.DUMMYFUNCTION("""COMPUTED_VALUE"""),84)</f>
        <v>84</v>
      </c>
      <c r="I25" s="6">
        <f ca="1">IFERROR(__xludf.DUMMYFUNCTION("""COMPUTED_VALUE"""),86)</f>
        <v>86</v>
      </c>
      <c r="J25" s="6"/>
      <c r="K25" s="6"/>
      <c r="L25" s="6"/>
      <c r="M25" s="6">
        <f ca="1">IFERROR(__xludf.DUMMYFUNCTION("""COMPUTED_VALUE"""),261)</f>
        <v>261</v>
      </c>
      <c r="N25" s="6">
        <f ca="1">IFERROR(__xludf.DUMMYFUNCTION("""COMPUTED_VALUE"""),261)</f>
        <v>261</v>
      </c>
    </row>
    <row r="26" spans="1:14" ht="12.75">
      <c r="A26" s="6" t="str">
        <f ca="1">IFERROR(__xludf.DUMMYFUNCTION("""COMPUTED_VALUE"""),"Ragne Roosla")</f>
        <v>Ragne Roosla</v>
      </c>
      <c r="B26" s="6" t="str">
        <f ca="1">IFERROR(__xludf.DUMMYFUNCTION("""COMPUTED_VALUE"""),"Rapla")</f>
        <v>Rapla</v>
      </c>
      <c r="C26" s="6" t="str">
        <f ca="1">IFERROR(__xludf.DUMMYFUNCTION("""COMPUTED_VALUE"""),"N")</f>
        <v>N</v>
      </c>
      <c r="D26" s="6" t="str">
        <f ca="1">IFERROR(__xludf.DUMMYFUNCTION("""COMPUTED_VALUE"""),"25m .22 H9")</f>
        <v>25m .22 H9</v>
      </c>
      <c r="E26" s="6" t="str">
        <f ca="1">IFERROR(__xludf.DUMMYFUNCTION("""COMPUTED_VALUE"""),"Võistkond")</f>
        <v>Võistkond</v>
      </c>
      <c r="F26" s="6" t="str">
        <f ca="1">IFERROR(__xludf.DUMMYFUNCTION("""COMPUTED_VALUE"""),"10.09.23")</f>
        <v>10.09.23</v>
      </c>
      <c r="G26" s="6">
        <f ca="1">IFERROR(__xludf.DUMMYFUNCTION("""COMPUTED_VALUE"""),85)</f>
        <v>85</v>
      </c>
      <c r="H26" s="6">
        <f ca="1">IFERROR(__xludf.DUMMYFUNCTION("""COMPUTED_VALUE"""),85)</f>
        <v>85</v>
      </c>
      <c r="I26" s="6">
        <f ca="1">IFERROR(__xludf.DUMMYFUNCTION("""COMPUTED_VALUE"""),90)</f>
        <v>90</v>
      </c>
      <c r="J26" s="6"/>
      <c r="K26" s="6"/>
      <c r="L26" s="6"/>
      <c r="M26" s="6">
        <f ca="1">IFERROR(__xludf.DUMMYFUNCTION("""COMPUTED_VALUE"""),260)</f>
        <v>260</v>
      </c>
      <c r="N26" s="6">
        <f ca="1">IFERROR(__xludf.DUMMYFUNCTION("""COMPUTED_VALUE"""),260)</f>
        <v>260</v>
      </c>
    </row>
    <row r="27" spans="1:14" ht="12.75">
      <c r="A27" s="6" t="str">
        <f ca="1">IFERROR(__xludf.DUMMYFUNCTION("""COMPUTED_VALUE"""),"Keio Essa")</f>
        <v>Keio Essa</v>
      </c>
      <c r="B27" s="6" t="str">
        <f ca="1">IFERROR(__xludf.DUMMYFUNCTION("""COMPUTED_VALUE"""),"Tartu")</f>
        <v>Tartu</v>
      </c>
      <c r="C27" s="6" t="str">
        <f ca="1">IFERROR(__xludf.DUMMYFUNCTION("""COMPUTED_VALUE"""),"MJ")</f>
        <v>MJ</v>
      </c>
      <c r="D27" s="6" t="str">
        <f ca="1">IFERROR(__xludf.DUMMYFUNCTION("""COMPUTED_VALUE"""),"25m .22 H9")</f>
        <v>25m .22 H9</v>
      </c>
      <c r="E27" s="6" t="str">
        <f ca="1">IFERROR(__xludf.DUMMYFUNCTION("""COMPUTED_VALUE"""),"Võistkond")</f>
        <v>Võistkond</v>
      </c>
      <c r="F27" s="6" t="str">
        <f ca="1">IFERROR(__xludf.DUMMYFUNCTION("""COMPUTED_VALUE"""),"10.09.23")</f>
        <v>10.09.23</v>
      </c>
      <c r="G27" s="6">
        <f ca="1">IFERROR(__xludf.DUMMYFUNCTION("""COMPUTED_VALUE"""),88)</f>
        <v>88</v>
      </c>
      <c r="H27" s="6">
        <f ca="1">IFERROR(__xludf.DUMMYFUNCTION("""COMPUTED_VALUE"""),87)</f>
        <v>87</v>
      </c>
      <c r="I27" s="6">
        <f ca="1">IFERROR(__xludf.DUMMYFUNCTION("""COMPUTED_VALUE"""),85)</f>
        <v>85</v>
      </c>
      <c r="J27" s="6"/>
      <c r="K27" s="6"/>
      <c r="L27" s="6"/>
      <c r="M27" s="6">
        <f ca="1">IFERROR(__xludf.DUMMYFUNCTION("""COMPUTED_VALUE"""),260)</f>
        <v>260</v>
      </c>
      <c r="N27" s="6">
        <f ca="1">IFERROR(__xludf.DUMMYFUNCTION("""COMPUTED_VALUE"""),260)</f>
        <v>260</v>
      </c>
    </row>
    <row r="28" spans="1:14" ht="12.75">
      <c r="A28" s="6" t="str">
        <f ca="1">IFERROR(__xludf.DUMMYFUNCTION("""COMPUTED_VALUE"""),"Kätliin Saar")</f>
        <v>Kätliin Saar</v>
      </c>
      <c r="B28" s="6" t="str">
        <f ca="1">IFERROR(__xludf.DUMMYFUNCTION("""COMPUTED_VALUE"""),"Järva")</f>
        <v>Järva</v>
      </c>
      <c r="C28" s="6" t="str">
        <f ca="1">IFERROR(__xludf.DUMMYFUNCTION("""COMPUTED_VALUE"""),"N")</f>
        <v>N</v>
      </c>
      <c r="D28" s="6" t="str">
        <f ca="1">IFERROR(__xludf.DUMMYFUNCTION("""COMPUTED_VALUE"""),"25m .22 H9")</f>
        <v>25m .22 H9</v>
      </c>
      <c r="E28" s="6" t="str">
        <f ca="1">IFERROR(__xludf.DUMMYFUNCTION("""COMPUTED_VALUE"""),"Võistkond")</f>
        <v>Võistkond</v>
      </c>
      <c r="F28" s="6" t="str">
        <f ca="1">IFERROR(__xludf.DUMMYFUNCTION("""COMPUTED_VALUE"""),"09.09.23")</f>
        <v>09.09.23</v>
      </c>
      <c r="G28" s="6">
        <f ca="1">IFERROR(__xludf.DUMMYFUNCTION("""COMPUTED_VALUE"""),87)</f>
        <v>87</v>
      </c>
      <c r="H28" s="6">
        <f ca="1">IFERROR(__xludf.DUMMYFUNCTION("""COMPUTED_VALUE"""),79)</f>
        <v>79</v>
      </c>
      <c r="I28" s="6">
        <f ca="1">IFERROR(__xludf.DUMMYFUNCTION("""COMPUTED_VALUE"""),90)</f>
        <v>90</v>
      </c>
      <c r="J28" s="6"/>
      <c r="K28" s="6"/>
      <c r="L28" s="6"/>
      <c r="M28" s="6">
        <f ca="1">IFERROR(__xludf.DUMMYFUNCTION("""COMPUTED_VALUE"""),256)</f>
        <v>256</v>
      </c>
      <c r="N28" s="6">
        <f ca="1">IFERROR(__xludf.DUMMYFUNCTION("""COMPUTED_VALUE"""),256)</f>
        <v>256</v>
      </c>
    </row>
    <row r="29" spans="1:14" ht="12.75">
      <c r="A29" s="6" t="str">
        <f ca="1">IFERROR(__xludf.DUMMYFUNCTION("""COMPUTED_VALUE"""),"Heiki Männik")</f>
        <v>Heiki Männik</v>
      </c>
      <c r="B29" s="6" t="str">
        <f ca="1">IFERROR(__xludf.DUMMYFUNCTION("""COMPUTED_VALUE"""),"Viru")</f>
        <v>Viru</v>
      </c>
      <c r="C29" s="6" t="str">
        <f ca="1">IFERROR(__xludf.DUMMYFUNCTION("""COMPUTED_VALUE"""),"M")</f>
        <v>M</v>
      </c>
      <c r="D29" s="6" t="str">
        <f ca="1">IFERROR(__xludf.DUMMYFUNCTION("""COMPUTED_VALUE"""),"25m .22 H9")</f>
        <v>25m .22 H9</v>
      </c>
      <c r="E29" s="6" t="str">
        <f ca="1">IFERROR(__xludf.DUMMYFUNCTION("""COMPUTED_VALUE"""),"Individuaalne")</f>
        <v>Individuaalne</v>
      </c>
      <c r="F29" s="6" t="str">
        <f ca="1">IFERROR(__xludf.DUMMYFUNCTION("""COMPUTED_VALUE"""),"10.09.23")</f>
        <v>10.09.23</v>
      </c>
      <c r="G29" s="6">
        <f ca="1">IFERROR(__xludf.DUMMYFUNCTION("""COMPUTED_VALUE"""),82)</f>
        <v>82</v>
      </c>
      <c r="H29" s="6">
        <f ca="1">IFERROR(__xludf.DUMMYFUNCTION("""COMPUTED_VALUE"""),83)</f>
        <v>83</v>
      </c>
      <c r="I29" s="6">
        <f ca="1">IFERROR(__xludf.DUMMYFUNCTION("""COMPUTED_VALUE"""),91)</f>
        <v>91</v>
      </c>
      <c r="J29" s="6"/>
      <c r="K29" s="6"/>
      <c r="L29" s="6"/>
      <c r="M29" s="6">
        <f ca="1">IFERROR(__xludf.DUMMYFUNCTION("""COMPUTED_VALUE"""),256)</f>
        <v>256</v>
      </c>
      <c r="N29" s="6"/>
    </row>
    <row r="30" spans="1:14" ht="12.75">
      <c r="A30" s="6" t="str">
        <f ca="1">IFERROR(__xludf.DUMMYFUNCTION("""COMPUTED_VALUE"""),"Jaan Jänesmäe")</f>
        <v>Jaan Jänesmäe</v>
      </c>
      <c r="B30" s="6" t="str">
        <f ca="1">IFERROR(__xludf.DUMMYFUNCTION("""COMPUTED_VALUE"""),"KKÜ")</f>
        <v>KKÜ</v>
      </c>
      <c r="C30" s="6" t="str">
        <f ca="1">IFERROR(__xludf.DUMMYFUNCTION("""COMPUTED_VALUE"""),"M")</f>
        <v>M</v>
      </c>
      <c r="D30" s="6" t="str">
        <f ca="1">IFERROR(__xludf.DUMMYFUNCTION("""COMPUTED_VALUE"""),"25m .22 H9")</f>
        <v>25m .22 H9</v>
      </c>
      <c r="E30" s="6" t="str">
        <f ca="1">IFERROR(__xludf.DUMMYFUNCTION("""COMPUTED_VALUE"""),"Individuaalne")</f>
        <v>Individuaalne</v>
      </c>
      <c r="F30" s="6" t="str">
        <f ca="1">IFERROR(__xludf.DUMMYFUNCTION("""COMPUTED_VALUE"""),"09.09.23")</f>
        <v>09.09.23</v>
      </c>
      <c r="G30" s="6">
        <f ca="1">IFERROR(__xludf.DUMMYFUNCTION("""COMPUTED_VALUE"""),87)</f>
        <v>87</v>
      </c>
      <c r="H30" s="6">
        <f ca="1">IFERROR(__xludf.DUMMYFUNCTION("""COMPUTED_VALUE"""),83)</f>
        <v>83</v>
      </c>
      <c r="I30" s="6">
        <f ca="1">IFERROR(__xludf.DUMMYFUNCTION("""COMPUTED_VALUE"""),84)</f>
        <v>84</v>
      </c>
      <c r="J30" s="6"/>
      <c r="K30" s="6"/>
      <c r="L30" s="6"/>
      <c r="M30" s="6">
        <f ca="1">IFERROR(__xludf.DUMMYFUNCTION("""COMPUTED_VALUE"""),254)</f>
        <v>254</v>
      </c>
      <c r="N30" s="6"/>
    </row>
    <row r="31" spans="1:14" ht="12.75">
      <c r="A31" s="6" t="str">
        <f ca="1">IFERROR(__xludf.DUMMYFUNCTION("""COMPUTED_VALUE"""),"Marit Kasemets")</f>
        <v>Marit Kasemets</v>
      </c>
      <c r="B31" s="6" t="str">
        <f ca="1">IFERROR(__xludf.DUMMYFUNCTION("""COMPUTED_VALUE"""),"Tallinn")</f>
        <v>Tallinn</v>
      </c>
      <c r="C31" s="6" t="str">
        <f ca="1">IFERROR(__xludf.DUMMYFUNCTION("""COMPUTED_VALUE"""),"N")</f>
        <v>N</v>
      </c>
      <c r="D31" s="6" t="str">
        <f ca="1">IFERROR(__xludf.DUMMYFUNCTION("""COMPUTED_VALUE"""),"25m .22 H9")</f>
        <v>25m .22 H9</v>
      </c>
      <c r="E31" s="6" t="str">
        <f ca="1">IFERROR(__xludf.DUMMYFUNCTION("""COMPUTED_VALUE"""),"Võistkond")</f>
        <v>Võistkond</v>
      </c>
      <c r="F31" s="6" t="str">
        <f ca="1">IFERROR(__xludf.DUMMYFUNCTION("""COMPUTED_VALUE"""),"09.09.23")</f>
        <v>09.09.23</v>
      </c>
      <c r="G31" s="6">
        <f ca="1">IFERROR(__xludf.DUMMYFUNCTION("""COMPUTED_VALUE"""),79)</f>
        <v>79</v>
      </c>
      <c r="H31" s="6">
        <f ca="1">IFERROR(__xludf.DUMMYFUNCTION("""COMPUTED_VALUE"""),86)</f>
        <v>86</v>
      </c>
      <c r="I31" s="6">
        <f ca="1">IFERROR(__xludf.DUMMYFUNCTION("""COMPUTED_VALUE"""),89)</f>
        <v>89</v>
      </c>
      <c r="J31" s="6"/>
      <c r="K31" s="6"/>
      <c r="L31" s="6"/>
      <c r="M31" s="6">
        <f ca="1">IFERROR(__xludf.DUMMYFUNCTION("""COMPUTED_VALUE"""),254)</f>
        <v>254</v>
      </c>
      <c r="N31" s="6">
        <f ca="1">IFERROR(__xludf.DUMMYFUNCTION("""COMPUTED_VALUE"""),254)</f>
        <v>254</v>
      </c>
    </row>
    <row r="32" spans="1:14" ht="12.75">
      <c r="A32" s="6" t="str">
        <f ca="1">IFERROR(__xludf.DUMMYFUNCTION("""COMPUTED_VALUE"""),"Jevgeni Gerassimov")</f>
        <v>Jevgeni Gerassimov</v>
      </c>
      <c r="B32" s="6" t="str">
        <f ca="1">IFERROR(__xludf.DUMMYFUNCTION("""COMPUTED_VALUE"""),"Alutaguse")</f>
        <v>Alutaguse</v>
      </c>
      <c r="C32" s="6" t="str">
        <f ca="1">IFERROR(__xludf.DUMMYFUNCTION("""COMPUTED_VALUE"""),"MJ")</f>
        <v>MJ</v>
      </c>
      <c r="D32" s="6" t="str">
        <f ca="1">IFERROR(__xludf.DUMMYFUNCTION("""COMPUTED_VALUE"""),"25m .22 H9")</f>
        <v>25m .22 H9</v>
      </c>
      <c r="E32" s="6" t="str">
        <f ca="1">IFERROR(__xludf.DUMMYFUNCTION("""COMPUTED_VALUE"""),"Võistkond")</f>
        <v>Võistkond</v>
      </c>
      <c r="F32" s="6" t="str">
        <f ca="1">IFERROR(__xludf.DUMMYFUNCTION("""COMPUTED_VALUE"""),"09.09.23")</f>
        <v>09.09.23</v>
      </c>
      <c r="G32" s="6">
        <f ca="1">IFERROR(__xludf.DUMMYFUNCTION("""COMPUTED_VALUE"""),84)</f>
        <v>84</v>
      </c>
      <c r="H32" s="6">
        <f ca="1">IFERROR(__xludf.DUMMYFUNCTION("""COMPUTED_VALUE"""),85)</f>
        <v>85</v>
      </c>
      <c r="I32" s="6">
        <f ca="1">IFERROR(__xludf.DUMMYFUNCTION("""COMPUTED_VALUE"""),83)</f>
        <v>83</v>
      </c>
      <c r="J32" s="6"/>
      <c r="K32" s="6"/>
      <c r="L32" s="6"/>
      <c r="M32" s="6">
        <f ca="1">IFERROR(__xludf.DUMMYFUNCTION("""COMPUTED_VALUE"""),252)</f>
        <v>252</v>
      </c>
      <c r="N32" s="6">
        <f ca="1">IFERROR(__xludf.DUMMYFUNCTION("""COMPUTED_VALUE"""),252)</f>
        <v>252</v>
      </c>
    </row>
    <row r="33" spans="1:14" ht="12.75">
      <c r="A33" s="6" t="str">
        <f ca="1">IFERROR(__xludf.DUMMYFUNCTION("""COMPUTED_VALUE"""),"Maia Bunder")</f>
        <v>Maia Bunder</v>
      </c>
      <c r="B33" s="6" t="str">
        <f ca="1">IFERROR(__xludf.DUMMYFUNCTION("""COMPUTED_VALUE"""),"Tallinn")</f>
        <v>Tallinn</v>
      </c>
      <c r="C33" s="6" t="str">
        <f ca="1">IFERROR(__xludf.DUMMYFUNCTION("""COMPUTED_VALUE"""),"NJ")</f>
        <v>NJ</v>
      </c>
      <c r="D33" s="6" t="str">
        <f ca="1">IFERROR(__xludf.DUMMYFUNCTION("""COMPUTED_VALUE"""),"25m .22 H9")</f>
        <v>25m .22 H9</v>
      </c>
      <c r="E33" s="6" t="str">
        <f ca="1">IFERROR(__xludf.DUMMYFUNCTION("""COMPUTED_VALUE"""),"Võistkond")</f>
        <v>Võistkond</v>
      </c>
      <c r="F33" s="6" t="str">
        <f ca="1">IFERROR(__xludf.DUMMYFUNCTION("""COMPUTED_VALUE"""),"09.09.23")</f>
        <v>09.09.23</v>
      </c>
      <c r="G33" s="6">
        <f ca="1">IFERROR(__xludf.DUMMYFUNCTION("""COMPUTED_VALUE"""),85)</f>
        <v>85</v>
      </c>
      <c r="H33" s="6">
        <f ca="1">IFERROR(__xludf.DUMMYFUNCTION("""COMPUTED_VALUE"""),77)</f>
        <v>77</v>
      </c>
      <c r="I33" s="6">
        <f ca="1">IFERROR(__xludf.DUMMYFUNCTION("""COMPUTED_VALUE"""),90)</f>
        <v>90</v>
      </c>
      <c r="J33" s="6"/>
      <c r="K33" s="6"/>
      <c r="L33" s="6"/>
      <c r="M33" s="6">
        <f ca="1">IFERROR(__xludf.DUMMYFUNCTION("""COMPUTED_VALUE"""),252)</f>
        <v>252</v>
      </c>
      <c r="N33" s="6">
        <f ca="1">IFERROR(__xludf.DUMMYFUNCTION("""COMPUTED_VALUE"""),252)</f>
        <v>252</v>
      </c>
    </row>
    <row r="34" spans="1:14" ht="12.75">
      <c r="A34" s="6" t="str">
        <f ca="1">IFERROR(__xludf.DUMMYFUNCTION("""COMPUTED_VALUE"""),"Kristo Minn")</f>
        <v>Kristo Minn</v>
      </c>
      <c r="B34" s="6" t="str">
        <f ca="1">IFERROR(__xludf.DUMMYFUNCTION("""COMPUTED_VALUE"""),"Pärnumaa")</f>
        <v>Pärnumaa</v>
      </c>
      <c r="C34" s="6" t="str">
        <f ca="1">IFERROR(__xludf.DUMMYFUNCTION("""COMPUTED_VALUE"""),"M")</f>
        <v>M</v>
      </c>
      <c r="D34" s="6" t="str">
        <f ca="1">IFERROR(__xludf.DUMMYFUNCTION("""COMPUTED_VALUE"""),"25m .22 H9")</f>
        <v>25m .22 H9</v>
      </c>
      <c r="E34" s="6" t="str">
        <f ca="1">IFERROR(__xludf.DUMMYFUNCTION("""COMPUTED_VALUE"""),"Võistkond")</f>
        <v>Võistkond</v>
      </c>
      <c r="F34" s="6" t="str">
        <f ca="1">IFERROR(__xludf.DUMMYFUNCTION("""COMPUTED_VALUE"""),"09.09.23")</f>
        <v>09.09.23</v>
      </c>
      <c r="G34" s="6">
        <f ca="1">IFERROR(__xludf.DUMMYFUNCTION("""COMPUTED_VALUE"""),83)</f>
        <v>83</v>
      </c>
      <c r="H34" s="6">
        <f ca="1">IFERROR(__xludf.DUMMYFUNCTION("""COMPUTED_VALUE"""),87)</f>
        <v>87</v>
      </c>
      <c r="I34" s="6">
        <f ca="1">IFERROR(__xludf.DUMMYFUNCTION("""COMPUTED_VALUE"""),81)</f>
        <v>81</v>
      </c>
      <c r="J34" s="6"/>
      <c r="K34" s="6"/>
      <c r="L34" s="6"/>
      <c r="M34" s="6">
        <f ca="1">IFERROR(__xludf.DUMMYFUNCTION("""COMPUTED_VALUE"""),251)</f>
        <v>251</v>
      </c>
      <c r="N34" s="6">
        <f ca="1">IFERROR(__xludf.DUMMYFUNCTION("""COMPUTED_VALUE"""),251)</f>
        <v>251</v>
      </c>
    </row>
    <row r="35" spans="1:14" ht="12.75">
      <c r="A35" s="6" t="str">
        <f ca="1">IFERROR(__xludf.DUMMYFUNCTION("""COMPUTED_VALUE"""),"Matis Russi")</f>
        <v>Matis Russi</v>
      </c>
      <c r="B35" s="6" t="str">
        <f ca="1">IFERROR(__xludf.DUMMYFUNCTION("""COMPUTED_VALUE"""),"Lääne")</f>
        <v>Lääne</v>
      </c>
      <c r="C35" s="6" t="str">
        <f ca="1">IFERROR(__xludf.DUMMYFUNCTION("""COMPUTED_VALUE"""),"M")</f>
        <v>M</v>
      </c>
      <c r="D35" s="6" t="str">
        <f ca="1">IFERROR(__xludf.DUMMYFUNCTION("""COMPUTED_VALUE"""),"25m .22 H9")</f>
        <v>25m .22 H9</v>
      </c>
      <c r="E35" s="6" t="str">
        <f ca="1">IFERROR(__xludf.DUMMYFUNCTION("""COMPUTED_VALUE"""),"Individuaalne")</f>
        <v>Individuaalne</v>
      </c>
      <c r="F35" s="6" t="str">
        <f ca="1">IFERROR(__xludf.DUMMYFUNCTION("""COMPUTED_VALUE"""),"10.09.23")</f>
        <v>10.09.23</v>
      </c>
      <c r="G35" s="6">
        <f ca="1">IFERROR(__xludf.DUMMYFUNCTION("""COMPUTED_VALUE"""),87)</f>
        <v>87</v>
      </c>
      <c r="H35" s="6">
        <f ca="1">IFERROR(__xludf.DUMMYFUNCTION("""COMPUTED_VALUE"""),80)</f>
        <v>80</v>
      </c>
      <c r="I35" s="6">
        <f ca="1">IFERROR(__xludf.DUMMYFUNCTION("""COMPUTED_VALUE"""),84)</f>
        <v>84</v>
      </c>
      <c r="J35" s="6"/>
      <c r="K35" s="6"/>
      <c r="L35" s="6"/>
      <c r="M35" s="6">
        <f ca="1">IFERROR(__xludf.DUMMYFUNCTION("""COMPUTED_VALUE"""),251)</f>
        <v>251</v>
      </c>
      <c r="N35" s="6"/>
    </row>
    <row r="36" spans="1:14" ht="12.75">
      <c r="A36" s="6" t="str">
        <f ca="1">IFERROR(__xludf.DUMMYFUNCTION("""COMPUTED_VALUE"""),"Heinar Väljak")</f>
        <v>Heinar Väljak</v>
      </c>
      <c r="B36" s="6" t="str">
        <f ca="1">IFERROR(__xludf.DUMMYFUNCTION("""COMPUTED_VALUE"""),"Tartu")</f>
        <v>Tartu</v>
      </c>
      <c r="C36" s="6" t="str">
        <f ca="1">IFERROR(__xludf.DUMMYFUNCTION("""COMPUTED_VALUE"""),"M")</f>
        <v>M</v>
      </c>
      <c r="D36" s="6" t="str">
        <f ca="1">IFERROR(__xludf.DUMMYFUNCTION("""COMPUTED_VALUE"""),"25m .22 H9")</f>
        <v>25m .22 H9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IFERROR(__xludf.DUMMYFUNCTION("""COMPUTED_VALUE"""),76)</f>
        <v>76</v>
      </c>
      <c r="H36" s="6">
        <f ca="1">IFERROR(__xludf.DUMMYFUNCTION("""COMPUTED_VALUE"""),89)</f>
        <v>89</v>
      </c>
      <c r="I36" s="6">
        <f ca="1">IFERROR(__xludf.DUMMYFUNCTION("""COMPUTED_VALUE"""),85)</f>
        <v>85</v>
      </c>
      <c r="J36" s="6"/>
      <c r="K36" s="6"/>
      <c r="L36" s="6"/>
      <c r="M36" s="6">
        <f ca="1">IFERROR(__xludf.DUMMYFUNCTION("""COMPUTED_VALUE"""),250)</f>
        <v>250</v>
      </c>
      <c r="N36" s="6">
        <f ca="1">IFERROR(__xludf.DUMMYFUNCTION("""COMPUTED_VALUE"""),250)</f>
        <v>250</v>
      </c>
    </row>
    <row r="37" spans="1:14" ht="12.75">
      <c r="A37" s="6" t="str">
        <f ca="1">IFERROR(__xludf.DUMMYFUNCTION("""COMPUTED_VALUE"""),"Akneliina Luur")</f>
        <v>Akneliina Luur</v>
      </c>
      <c r="B37" s="6" t="str">
        <f ca="1">IFERROR(__xludf.DUMMYFUNCTION("""COMPUTED_VALUE"""),"Lääne")</f>
        <v>Lääne</v>
      </c>
      <c r="C37" s="6" t="str">
        <f ca="1">IFERROR(__xludf.DUMMYFUNCTION("""COMPUTED_VALUE"""),"NJ")</f>
        <v>NJ</v>
      </c>
      <c r="D37" s="6" t="str">
        <f ca="1">IFERROR(__xludf.DUMMYFUNCTION("""COMPUTED_VALUE"""),"25m .22 H9")</f>
        <v>25m .22 H9</v>
      </c>
      <c r="E37" s="6" t="str">
        <f ca="1">IFERROR(__xludf.DUMMYFUNCTION("""COMPUTED_VALUE"""),"Võistkond")</f>
        <v>Võistkond</v>
      </c>
      <c r="F37" s="6" t="str">
        <f ca="1">IFERROR(__xludf.DUMMYFUNCTION("""COMPUTED_VALUE"""),"10.09.23")</f>
        <v>10.09.23</v>
      </c>
      <c r="G37" s="6">
        <f ca="1">IFERROR(__xludf.DUMMYFUNCTION("""COMPUTED_VALUE"""),81)</f>
        <v>81</v>
      </c>
      <c r="H37" s="6">
        <f ca="1">IFERROR(__xludf.DUMMYFUNCTION("""COMPUTED_VALUE"""),80)</f>
        <v>80</v>
      </c>
      <c r="I37" s="6">
        <f ca="1">IFERROR(__xludf.DUMMYFUNCTION("""COMPUTED_VALUE"""),82)</f>
        <v>82</v>
      </c>
      <c r="J37" s="6"/>
      <c r="K37" s="6"/>
      <c r="L37" s="6"/>
      <c r="M37" s="6">
        <f ca="1">IFERROR(__xludf.DUMMYFUNCTION("""COMPUTED_VALUE"""),243)</f>
        <v>243</v>
      </c>
      <c r="N37" s="6">
        <f ca="1">IFERROR(__xludf.DUMMYFUNCTION("""COMPUTED_VALUE"""),243)</f>
        <v>243</v>
      </c>
    </row>
    <row r="38" spans="1:14" ht="12.75">
      <c r="A38" s="6" t="str">
        <f ca="1">IFERROR(__xludf.DUMMYFUNCTION("""COMPUTED_VALUE"""),"Keno-Laur Lutsar")</f>
        <v>Keno-Laur Lutsar</v>
      </c>
      <c r="B38" s="6" t="str">
        <f ca="1">IFERROR(__xludf.DUMMYFUNCTION("""COMPUTED_VALUE"""),"Põlva")</f>
        <v>Põlva</v>
      </c>
      <c r="C38" s="6" t="str">
        <f ca="1">IFERROR(__xludf.DUMMYFUNCTION("""COMPUTED_VALUE"""),"MJ")</f>
        <v>MJ</v>
      </c>
      <c r="D38" s="6" t="str">
        <f ca="1">IFERROR(__xludf.DUMMYFUNCTION("""COMPUTED_VALUE"""),"25m .22 H9")</f>
        <v>25m .22 H9</v>
      </c>
      <c r="E38" s="6" t="str">
        <f ca="1">IFERROR(__xludf.DUMMYFUNCTION("""COMPUTED_VALUE"""),"Võistkond")</f>
        <v>Võistkond</v>
      </c>
      <c r="F38" s="6" t="str">
        <f ca="1">IFERROR(__xludf.DUMMYFUNCTION("""COMPUTED_VALUE"""),"10.09.23")</f>
        <v>10.09.23</v>
      </c>
      <c r="G38" s="6">
        <f ca="1">IFERROR(__xludf.DUMMYFUNCTION("""COMPUTED_VALUE"""),79)</f>
        <v>79</v>
      </c>
      <c r="H38" s="6">
        <f ca="1">IFERROR(__xludf.DUMMYFUNCTION("""COMPUTED_VALUE"""),79)</f>
        <v>79</v>
      </c>
      <c r="I38" s="6">
        <f ca="1">IFERROR(__xludf.DUMMYFUNCTION("""COMPUTED_VALUE"""),81)</f>
        <v>81</v>
      </c>
      <c r="J38" s="6"/>
      <c r="K38" s="6"/>
      <c r="L38" s="6"/>
      <c r="M38" s="6">
        <f ca="1">IFERROR(__xludf.DUMMYFUNCTION("""COMPUTED_VALUE"""),239)</f>
        <v>239</v>
      </c>
      <c r="N38" s="6">
        <f ca="1">IFERROR(__xludf.DUMMYFUNCTION("""COMPUTED_VALUE"""),239)</f>
        <v>239</v>
      </c>
    </row>
    <row r="39" spans="1:14" ht="12.75">
      <c r="A39" s="6" t="str">
        <f ca="1">IFERROR(__xludf.DUMMYFUNCTION("""COMPUTED_VALUE"""),"Katerina Herma")</f>
        <v>Katerina Herma</v>
      </c>
      <c r="B39" s="6" t="str">
        <f ca="1">IFERROR(__xludf.DUMMYFUNCTION("""COMPUTED_VALUE"""),"Sakala")</f>
        <v>Sakala</v>
      </c>
      <c r="C39" s="6" t="str">
        <f ca="1">IFERROR(__xludf.DUMMYFUNCTION("""COMPUTED_VALUE"""),"NJ")</f>
        <v>NJ</v>
      </c>
      <c r="D39" s="6" t="str">
        <f ca="1">IFERROR(__xludf.DUMMYFUNCTION("""COMPUTED_VALUE"""),"25m .22 H9")</f>
        <v>25m .22 H9</v>
      </c>
      <c r="E39" s="6" t="str">
        <f ca="1">IFERROR(__xludf.DUMMYFUNCTION("""COMPUTED_VALUE"""),"Võistkond")</f>
        <v>Võistkond</v>
      </c>
      <c r="F39" s="6" t="str">
        <f ca="1">IFERROR(__xludf.DUMMYFUNCTION("""COMPUTED_VALUE"""),"10.09.23")</f>
        <v>10.09.23</v>
      </c>
      <c r="G39" s="6">
        <f ca="1">IFERROR(__xludf.DUMMYFUNCTION("""COMPUTED_VALUE"""),75)</f>
        <v>75</v>
      </c>
      <c r="H39" s="6">
        <f ca="1">IFERROR(__xludf.DUMMYFUNCTION("""COMPUTED_VALUE"""),78)</f>
        <v>78</v>
      </c>
      <c r="I39" s="6">
        <f ca="1">IFERROR(__xludf.DUMMYFUNCTION("""COMPUTED_VALUE"""),86)</f>
        <v>86</v>
      </c>
      <c r="J39" s="6"/>
      <c r="K39" s="6"/>
      <c r="L39" s="6"/>
      <c r="M39" s="6">
        <f ca="1">IFERROR(__xludf.DUMMYFUNCTION("""COMPUTED_VALUE"""),239)</f>
        <v>239</v>
      </c>
      <c r="N39" s="6">
        <f ca="1">IFERROR(__xludf.DUMMYFUNCTION("""COMPUTED_VALUE"""),239)</f>
        <v>239</v>
      </c>
    </row>
    <row r="40" spans="1:14" ht="12.75">
      <c r="A40" s="6" t="str">
        <f ca="1">IFERROR(__xludf.DUMMYFUNCTION("""COMPUTED_VALUE"""),"Mari-Anne Meister")</f>
        <v>Mari-Anne Meister</v>
      </c>
      <c r="B40" s="6" t="str">
        <f ca="1">IFERROR(__xludf.DUMMYFUNCTION("""COMPUTED_VALUE"""),"KKÜ")</f>
        <v>KKÜ</v>
      </c>
      <c r="C40" s="6" t="str">
        <f ca="1">IFERROR(__xludf.DUMMYFUNCTION("""COMPUTED_VALUE"""),"N")</f>
        <v>N</v>
      </c>
      <c r="D40" s="6" t="str">
        <f ca="1">IFERROR(__xludf.DUMMYFUNCTION("""COMPUTED_VALUE"""),"25m .22 H9")</f>
        <v>25m .22 H9</v>
      </c>
      <c r="E40" s="6" t="str">
        <f ca="1">IFERROR(__xludf.DUMMYFUNCTION("""COMPUTED_VALUE"""),"Võistkond")</f>
        <v>Võistkond</v>
      </c>
      <c r="F40" s="6" t="str">
        <f ca="1">IFERROR(__xludf.DUMMYFUNCTION("""COMPUTED_VALUE"""),"09.09.23")</f>
        <v>09.09.23</v>
      </c>
      <c r="G40" s="6">
        <f ca="1">IFERROR(__xludf.DUMMYFUNCTION("""COMPUTED_VALUE"""),63)</f>
        <v>63</v>
      </c>
      <c r="H40" s="6">
        <f ca="1">IFERROR(__xludf.DUMMYFUNCTION("""COMPUTED_VALUE"""),89)</f>
        <v>89</v>
      </c>
      <c r="I40" s="6">
        <f ca="1">IFERROR(__xludf.DUMMYFUNCTION("""COMPUTED_VALUE"""),84)</f>
        <v>84</v>
      </c>
      <c r="J40" s="6"/>
      <c r="K40" s="6"/>
      <c r="L40" s="6"/>
      <c r="M40" s="6">
        <f ca="1">IFERROR(__xludf.DUMMYFUNCTION("""COMPUTED_VALUE"""),236)</f>
        <v>236</v>
      </c>
      <c r="N40" s="6">
        <f ca="1">IFERROR(__xludf.DUMMYFUNCTION("""COMPUTED_VALUE"""),236)</f>
        <v>236</v>
      </c>
    </row>
    <row r="41" spans="1:14" ht="12.75">
      <c r="A41" s="6" t="str">
        <f ca="1">IFERROR(__xludf.DUMMYFUNCTION("""COMPUTED_VALUE"""),"Inga Niit")</f>
        <v>Inga Niit</v>
      </c>
      <c r="B41" s="6" t="str">
        <f ca="1">IFERROR(__xludf.DUMMYFUNCTION("""COMPUTED_VALUE"""),"Võrumaa")</f>
        <v>Võrumaa</v>
      </c>
      <c r="C41" s="6" t="str">
        <f ca="1">IFERROR(__xludf.DUMMYFUNCTION("""COMPUTED_VALUE"""),"N")</f>
        <v>N</v>
      </c>
      <c r="D41" s="6" t="str">
        <f ca="1">IFERROR(__xludf.DUMMYFUNCTION("""COMPUTED_VALUE"""),"25m .22 H9")</f>
        <v>25m .22 H9</v>
      </c>
      <c r="E41" s="6" t="str">
        <f ca="1">IFERROR(__xludf.DUMMYFUNCTION("""COMPUTED_VALUE"""),"Võistkond")</f>
        <v>Võistkond</v>
      </c>
      <c r="F41" s="6" t="str">
        <f ca="1">IFERROR(__xludf.DUMMYFUNCTION("""COMPUTED_VALUE"""),"10.09.23")</f>
        <v>10.09.23</v>
      </c>
      <c r="G41" s="6">
        <f ca="1">IFERROR(__xludf.DUMMYFUNCTION("""COMPUTED_VALUE"""),81)</f>
        <v>81</v>
      </c>
      <c r="H41" s="6">
        <f ca="1">IFERROR(__xludf.DUMMYFUNCTION("""COMPUTED_VALUE"""),82)</f>
        <v>82</v>
      </c>
      <c r="I41" s="6">
        <f ca="1">IFERROR(__xludf.DUMMYFUNCTION("""COMPUTED_VALUE"""),69)</f>
        <v>69</v>
      </c>
      <c r="J41" s="6"/>
      <c r="K41" s="6"/>
      <c r="L41" s="6"/>
      <c r="M41" s="6">
        <f ca="1">IFERROR(__xludf.DUMMYFUNCTION("""COMPUTED_VALUE"""),232)</f>
        <v>232</v>
      </c>
      <c r="N41" s="6">
        <f ca="1">IFERROR(__xludf.DUMMYFUNCTION("""COMPUTED_VALUE"""),232)</f>
        <v>232</v>
      </c>
    </row>
    <row r="42" spans="1:14" ht="12.75">
      <c r="A42" s="6" t="str">
        <f ca="1">IFERROR(__xludf.DUMMYFUNCTION("""COMPUTED_VALUE"""),"Dana Vassel")</f>
        <v>Dana Vassel</v>
      </c>
      <c r="B42" s="6" t="str">
        <f ca="1">IFERROR(__xludf.DUMMYFUNCTION("""COMPUTED_VALUE"""),"Tartu")</f>
        <v>Tartu</v>
      </c>
      <c r="C42" s="6" t="str">
        <f ca="1">IFERROR(__xludf.DUMMYFUNCTION("""COMPUTED_VALUE"""),"NJ")</f>
        <v>NJ</v>
      </c>
      <c r="D42" s="6" t="str">
        <f ca="1">IFERROR(__xludf.DUMMYFUNCTION("""COMPUTED_VALUE"""),"25m .22 H9")</f>
        <v>25m .22 H9</v>
      </c>
      <c r="E42" s="6" t="str">
        <f ca="1">IFERROR(__xludf.DUMMYFUNCTION("""COMPUTED_VALUE"""),"Individuaalne")</f>
        <v>Individuaalne</v>
      </c>
      <c r="F42" s="6" t="str">
        <f ca="1">IFERROR(__xludf.DUMMYFUNCTION("""COMPUTED_VALUE"""),"10.09.23")</f>
        <v>10.09.23</v>
      </c>
      <c r="G42" s="6">
        <f ca="1">IFERROR(__xludf.DUMMYFUNCTION("""COMPUTED_VALUE"""),77)</f>
        <v>77</v>
      </c>
      <c r="H42" s="6">
        <f ca="1">IFERROR(__xludf.DUMMYFUNCTION("""COMPUTED_VALUE"""),78)</f>
        <v>78</v>
      </c>
      <c r="I42" s="6">
        <f ca="1">IFERROR(__xludf.DUMMYFUNCTION("""COMPUTED_VALUE"""),76)</f>
        <v>76</v>
      </c>
      <c r="J42" s="6"/>
      <c r="K42" s="6"/>
      <c r="L42" s="6"/>
      <c r="M42" s="6">
        <f ca="1">IFERROR(__xludf.DUMMYFUNCTION("""COMPUTED_VALUE"""),231)</f>
        <v>231</v>
      </c>
      <c r="N42" s="6"/>
    </row>
    <row r="43" spans="1:14" ht="12.75">
      <c r="A43" s="6" t="str">
        <f ca="1">IFERROR(__xludf.DUMMYFUNCTION("""COMPUTED_VALUE"""),"Gertrud Vaeno")</f>
        <v>Gertrud Vaeno</v>
      </c>
      <c r="B43" s="6" t="str">
        <f ca="1">IFERROR(__xludf.DUMMYFUNCTION("""COMPUTED_VALUE"""),"Pärnumaa")</f>
        <v>Pärnumaa</v>
      </c>
      <c r="C43" s="6" t="str">
        <f ca="1">IFERROR(__xludf.DUMMYFUNCTION("""COMPUTED_VALUE"""),"NJ")</f>
        <v>NJ</v>
      </c>
      <c r="D43" s="6" t="str">
        <f ca="1">IFERROR(__xludf.DUMMYFUNCTION("""COMPUTED_VALUE"""),"25m .22 H9")</f>
        <v>25m .22 H9</v>
      </c>
      <c r="E43" s="6" t="str">
        <f ca="1">IFERROR(__xludf.DUMMYFUNCTION("""COMPUTED_VALUE"""),"Võistkond")</f>
        <v>Võistkond</v>
      </c>
      <c r="F43" s="6" t="str">
        <f ca="1">IFERROR(__xludf.DUMMYFUNCTION("""COMPUTED_VALUE"""),"09.09.23")</f>
        <v>09.09.23</v>
      </c>
      <c r="G43" s="6">
        <f ca="1">IFERROR(__xludf.DUMMYFUNCTION("""COMPUTED_VALUE"""),79)</f>
        <v>79</v>
      </c>
      <c r="H43" s="6">
        <f ca="1">IFERROR(__xludf.DUMMYFUNCTION("""COMPUTED_VALUE"""),72)</f>
        <v>72</v>
      </c>
      <c r="I43" s="6">
        <f ca="1">IFERROR(__xludf.DUMMYFUNCTION("""COMPUTED_VALUE"""),79)</f>
        <v>79</v>
      </c>
      <c r="J43" s="6"/>
      <c r="K43" s="6"/>
      <c r="L43" s="6"/>
      <c r="M43" s="6">
        <f ca="1">IFERROR(__xludf.DUMMYFUNCTION("""COMPUTED_VALUE"""),230)</f>
        <v>230</v>
      </c>
      <c r="N43" s="6">
        <f ca="1">IFERROR(__xludf.DUMMYFUNCTION("""COMPUTED_VALUE"""),230)</f>
        <v>230</v>
      </c>
    </row>
    <row r="44" spans="1:14" ht="12.75">
      <c r="A44" s="6" t="str">
        <f ca="1">IFERROR(__xludf.DUMMYFUNCTION("""COMPUTED_VALUE"""),"Kai Willadsen")</f>
        <v>Kai Willadsen</v>
      </c>
      <c r="B44" s="6" t="str">
        <f ca="1">IFERROR(__xludf.DUMMYFUNCTION("""COMPUTED_VALUE"""),"KKÜ")</f>
        <v>KKÜ</v>
      </c>
      <c r="C44" s="6" t="str">
        <f ca="1">IFERROR(__xludf.DUMMYFUNCTION("""COMPUTED_VALUE"""),"M")</f>
        <v>M</v>
      </c>
      <c r="D44" s="6" t="str">
        <f ca="1">IFERROR(__xludf.DUMMYFUNCTION("""COMPUTED_VALUE"""),"25m .22 H9")</f>
        <v>25m .22 H9</v>
      </c>
      <c r="E44" s="6" t="str">
        <f ca="1">IFERROR(__xludf.DUMMYFUNCTION("""COMPUTED_VALUE"""),"Võistkond")</f>
        <v>Võistkond</v>
      </c>
      <c r="F44" s="6" t="str">
        <f ca="1">IFERROR(__xludf.DUMMYFUNCTION("""COMPUTED_VALUE"""),"09.09.23")</f>
        <v>09.09.23</v>
      </c>
      <c r="G44" s="6">
        <f ca="1">IFERROR(__xludf.DUMMYFUNCTION("""COMPUTED_VALUE"""),75)</f>
        <v>75</v>
      </c>
      <c r="H44" s="6">
        <f ca="1">IFERROR(__xludf.DUMMYFUNCTION("""COMPUTED_VALUE"""),73)</f>
        <v>73</v>
      </c>
      <c r="I44" s="6">
        <f ca="1">IFERROR(__xludf.DUMMYFUNCTION("""COMPUTED_VALUE"""),75)</f>
        <v>75</v>
      </c>
      <c r="J44" s="6"/>
      <c r="K44" s="6"/>
      <c r="L44" s="6"/>
      <c r="M44" s="6">
        <f ca="1">IFERROR(__xludf.DUMMYFUNCTION("""COMPUTED_VALUE"""),223)</f>
        <v>223</v>
      </c>
      <c r="N44" s="6">
        <f ca="1">IFERROR(__xludf.DUMMYFUNCTION("""COMPUTED_VALUE"""),223)</f>
        <v>223</v>
      </c>
    </row>
    <row r="45" spans="1:14" ht="12.75">
      <c r="A45" s="6" t="str">
        <f ca="1">IFERROR(__xludf.DUMMYFUNCTION("""COMPUTED_VALUE"""),"Merje Essa")</f>
        <v>Merje Essa</v>
      </c>
      <c r="B45" s="6" t="str">
        <f ca="1">IFERROR(__xludf.DUMMYFUNCTION("""COMPUTED_VALUE"""),"Tartu")</f>
        <v>Tartu</v>
      </c>
      <c r="C45" s="6" t="str">
        <f ca="1">IFERROR(__xludf.DUMMYFUNCTION("""COMPUTED_VALUE"""),"N")</f>
        <v>N</v>
      </c>
      <c r="D45" s="6" t="str">
        <f ca="1">IFERROR(__xludf.DUMMYFUNCTION("""COMPUTED_VALUE"""),"25m .22 H9")</f>
        <v>25m .22 H9</v>
      </c>
      <c r="E45" s="6" t="str">
        <f ca="1">IFERROR(__xludf.DUMMYFUNCTION("""COMPUTED_VALUE"""),"Võistkond")</f>
        <v>Võistkond</v>
      </c>
      <c r="F45" s="6" t="str">
        <f ca="1">IFERROR(__xludf.DUMMYFUNCTION("""COMPUTED_VALUE"""),"10.09.23")</f>
        <v>10.09.23</v>
      </c>
      <c r="G45" s="6">
        <f ca="1">IFERROR(__xludf.DUMMYFUNCTION("""COMPUTED_VALUE"""),75)</f>
        <v>75</v>
      </c>
      <c r="H45" s="6">
        <f ca="1">IFERROR(__xludf.DUMMYFUNCTION("""COMPUTED_VALUE"""),75)</f>
        <v>75</v>
      </c>
      <c r="I45" s="6">
        <f ca="1">IFERROR(__xludf.DUMMYFUNCTION("""COMPUTED_VALUE"""),73)</f>
        <v>73</v>
      </c>
      <c r="J45" s="6"/>
      <c r="K45" s="6"/>
      <c r="L45" s="6"/>
      <c r="M45" s="6">
        <f ca="1">IFERROR(__xludf.DUMMYFUNCTION("""COMPUTED_VALUE"""),223)</f>
        <v>223</v>
      </c>
      <c r="N45" s="6">
        <f ca="1">IFERROR(__xludf.DUMMYFUNCTION("""COMPUTED_VALUE"""),223)</f>
        <v>223</v>
      </c>
    </row>
    <row r="46" spans="1:14" ht="12.75">
      <c r="A46" s="6" t="str">
        <f ca="1">IFERROR(__xludf.DUMMYFUNCTION("""COMPUTED_VALUE"""),"Mattis Martjak")</f>
        <v>Mattis Martjak</v>
      </c>
      <c r="B46" s="6" t="str">
        <f ca="1">IFERROR(__xludf.DUMMYFUNCTION("""COMPUTED_VALUE"""),"Järva")</f>
        <v>Järva</v>
      </c>
      <c r="C46" s="6" t="str">
        <f ca="1">IFERROR(__xludf.DUMMYFUNCTION("""COMPUTED_VALUE"""),"MJ")</f>
        <v>MJ</v>
      </c>
      <c r="D46" s="6" t="str">
        <f ca="1">IFERROR(__xludf.DUMMYFUNCTION("""COMPUTED_VALUE"""),"25m .22 H9")</f>
        <v>25m .22 H9</v>
      </c>
      <c r="E46" s="6" t="str">
        <f ca="1">IFERROR(__xludf.DUMMYFUNCTION("""COMPUTED_VALUE"""),"Individuaalne")</f>
        <v>Individuaalne</v>
      </c>
      <c r="F46" s="6" t="str">
        <f ca="1">IFERROR(__xludf.DUMMYFUNCTION("""COMPUTED_VALUE"""),"09.09.23")</f>
        <v>09.09.23</v>
      </c>
      <c r="G46" s="6">
        <f ca="1">IFERROR(__xludf.DUMMYFUNCTION("""COMPUTED_VALUE"""),69)</f>
        <v>69</v>
      </c>
      <c r="H46" s="6">
        <f ca="1">IFERROR(__xludf.DUMMYFUNCTION("""COMPUTED_VALUE"""),66)</f>
        <v>66</v>
      </c>
      <c r="I46" s="6">
        <f ca="1">IFERROR(__xludf.DUMMYFUNCTION("""COMPUTED_VALUE"""),87)</f>
        <v>87</v>
      </c>
      <c r="J46" s="6"/>
      <c r="K46" s="6"/>
      <c r="L46" s="6"/>
      <c r="M46" s="6">
        <f ca="1">IFERROR(__xludf.DUMMYFUNCTION("""COMPUTED_VALUE"""),222)</f>
        <v>222</v>
      </c>
      <c r="N46" s="6"/>
    </row>
    <row r="47" spans="1:14" ht="12.75">
      <c r="A47" s="6" t="str">
        <f ca="1">IFERROR(__xludf.DUMMYFUNCTION("""COMPUTED_VALUE"""),"Margit Kaur")</f>
        <v>Margit Kaur</v>
      </c>
      <c r="B47" s="6" t="str">
        <f ca="1">IFERROR(__xludf.DUMMYFUNCTION("""COMPUTED_VALUE"""),"Pärnumaa")</f>
        <v>Pärnumaa</v>
      </c>
      <c r="C47" s="6" t="str">
        <f ca="1">IFERROR(__xludf.DUMMYFUNCTION("""COMPUTED_VALUE"""),"N")</f>
        <v>N</v>
      </c>
      <c r="D47" s="6" t="str">
        <f ca="1">IFERROR(__xludf.DUMMYFUNCTION("""COMPUTED_VALUE"""),"25m .22 H9")</f>
        <v>25m .22 H9</v>
      </c>
      <c r="E47" s="6" t="str">
        <f ca="1">IFERROR(__xludf.DUMMYFUNCTION("""COMPUTED_VALUE"""),"Võistkond")</f>
        <v>Võistkond</v>
      </c>
      <c r="F47" s="6" t="str">
        <f ca="1">IFERROR(__xludf.DUMMYFUNCTION("""COMPUTED_VALUE"""),"09.09.23")</f>
        <v>09.09.23</v>
      </c>
      <c r="G47" s="6">
        <f ca="1">IFERROR(__xludf.DUMMYFUNCTION("""COMPUTED_VALUE"""),72)</f>
        <v>72</v>
      </c>
      <c r="H47" s="6">
        <f ca="1">IFERROR(__xludf.DUMMYFUNCTION("""COMPUTED_VALUE"""),73)</f>
        <v>73</v>
      </c>
      <c r="I47" s="6">
        <f ca="1">IFERROR(__xludf.DUMMYFUNCTION("""COMPUTED_VALUE"""),72)</f>
        <v>72</v>
      </c>
      <c r="J47" s="6"/>
      <c r="K47" s="6"/>
      <c r="L47" s="6"/>
      <c r="M47" s="6">
        <f ca="1">IFERROR(__xludf.DUMMYFUNCTION("""COMPUTED_VALUE"""),217)</f>
        <v>217</v>
      </c>
      <c r="N47" s="6">
        <f ca="1">IFERROR(__xludf.DUMMYFUNCTION("""COMPUTED_VALUE"""),217)</f>
        <v>217</v>
      </c>
    </row>
    <row r="48" spans="1:14" ht="12.75">
      <c r="A48" s="6" t="str">
        <f ca="1">IFERROR(__xludf.DUMMYFUNCTION("""COMPUTED_VALUE"""),"Riina Schmeimann")</f>
        <v>Riina Schmeimann</v>
      </c>
      <c r="B48" s="6" t="str">
        <f ca="1">IFERROR(__xludf.DUMMYFUNCTION("""COMPUTED_VALUE"""),"Põlva")</f>
        <v>Põlva</v>
      </c>
      <c r="C48" s="6" t="str">
        <f ca="1">IFERROR(__xludf.DUMMYFUNCTION("""COMPUTED_VALUE"""),"N")</f>
        <v>N</v>
      </c>
      <c r="D48" s="6" t="str">
        <f ca="1">IFERROR(__xludf.DUMMYFUNCTION("""COMPUTED_VALUE"""),"25m .22 H9")</f>
        <v>25m .22 H9</v>
      </c>
      <c r="E48" s="6" t="str">
        <f ca="1">IFERROR(__xludf.DUMMYFUNCTION("""COMPUTED_VALUE"""),"Võistkond")</f>
        <v>Võistkond</v>
      </c>
      <c r="F48" s="6" t="str">
        <f ca="1">IFERROR(__xludf.DUMMYFUNCTION("""COMPUTED_VALUE"""),"10.09.23")</f>
        <v>10.09.23</v>
      </c>
      <c r="G48" s="6">
        <f ca="1">IFERROR(__xludf.DUMMYFUNCTION("""COMPUTED_VALUE"""),74)</f>
        <v>74</v>
      </c>
      <c r="H48" s="6">
        <f ca="1">IFERROR(__xludf.DUMMYFUNCTION("""COMPUTED_VALUE"""),78)</f>
        <v>78</v>
      </c>
      <c r="I48" s="6">
        <f ca="1">IFERROR(__xludf.DUMMYFUNCTION("""COMPUTED_VALUE"""),65)</f>
        <v>65</v>
      </c>
      <c r="J48" s="6"/>
      <c r="K48" s="6"/>
      <c r="L48" s="6"/>
      <c r="M48" s="6">
        <f ca="1">IFERROR(__xludf.DUMMYFUNCTION("""COMPUTED_VALUE"""),217)</f>
        <v>217</v>
      </c>
      <c r="N48" s="6">
        <f ca="1">IFERROR(__xludf.DUMMYFUNCTION("""COMPUTED_VALUE"""),217)</f>
        <v>217</v>
      </c>
    </row>
    <row r="49" spans="1:14" ht="12.75">
      <c r="A49" s="6" t="str">
        <f ca="1">IFERROR(__xludf.DUMMYFUNCTION("""COMPUTED_VALUE"""),"Aare Niinepuu")</f>
        <v>Aare Niinepuu</v>
      </c>
      <c r="B49" s="6" t="str">
        <f ca="1">IFERROR(__xludf.DUMMYFUNCTION("""COMPUTED_VALUE"""),"Järva")</f>
        <v>Järva</v>
      </c>
      <c r="C49" s="6" t="str">
        <f ca="1">IFERROR(__xludf.DUMMYFUNCTION("""COMPUTED_VALUE"""),"M")</f>
        <v>M</v>
      </c>
      <c r="D49" s="6" t="str">
        <f ca="1">IFERROR(__xludf.DUMMYFUNCTION("""COMPUTED_VALUE"""),"25m .22 H9")</f>
        <v>25m .22 H9</v>
      </c>
      <c r="E49" s="6" t="str">
        <f ca="1">IFERROR(__xludf.DUMMYFUNCTION("""COMPUTED_VALUE"""),"Individuaalne")</f>
        <v>Individuaalne</v>
      </c>
      <c r="F49" s="6" t="str">
        <f ca="1">IFERROR(__xludf.DUMMYFUNCTION("""COMPUTED_VALUE"""),"09.09.23")</f>
        <v>09.09.23</v>
      </c>
      <c r="G49" s="6">
        <f ca="1">IFERROR(__xludf.DUMMYFUNCTION("""COMPUTED_VALUE"""),66)</f>
        <v>66</v>
      </c>
      <c r="H49" s="6">
        <f ca="1">IFERROR(__xludf.DUMMYFUNCTION("""COMPUTED_VALUE"""),75)</f>
        <v>75</v>
      </c>
      <c r="I49" s="6">
        <f ca="1">IFERROR(__xludf.DUMMYFUNCTION("""COMPUTED_VALUE"""),73)</f>
        <v>73</v>
      </c>
      <c r="J49" s="6"/>
      <c r="K49" s="6"/>
      <c r="L49" s="6"/>
      <c r="M49" s="6">
        <f ca="1">IFERROR(__xludf.DUMMYFUNCTION("""COMPUTED_VALUE"""),214)</f>
        <v>214</v>
      </c>
      <c r="N49" s="6"/>
    </row>
    <row r="50" spans="1:14" ht="12.75">
      <c r="A50" s="6" t="str">
        <f ca="1">IFERROR(__xludf.DUMMYFUNCTION("""COMPUTED_VALUE"""),"Marleen Multram")</f>
        <v>Marleen Multram</v>
      </c>
      <c r="B50" s="6" t="str">
        <f ca="1">IFERROR(__xludf.DUMMYFUNCTION("""COMPUTED_VALUE"""),"Rapla")</f>
        <v>Rapla</v>
      </c>
      <c r="C50" s="6" t="str">
        <f ca="1">IFERROR(__xludf.DUMMYFUNCTION("""COMPUTED_VALUE"""),"NJ")</f>
        <v>NJ</v>
      </c>
      <c r="D50" s="6" t="str">
        <f ca="1">IFERROR(__xludf.DUMMYFUNCTION("""COMPUTED_VALUE"""),"25m .22 H9")</f>
        <v>25m .22 H9</v>
      </c>
      <c r="E50" s="6" t="str">
        <f ca="1">IFERROR(__xludf.DUMMYFUNCTION("""COMPUTED_VALUE"""),"Võistkond")</f>
        <v>Võistkond</v>
      </c>
      <c r="F50" s="6" t="str">
        <f ca="1">IFERROR(__xludf.DUMMYFUNCTION("""COMPUTED_VALUE"""),"10.09.23")</f>
        <v>10.09.23</v>
      </c>
      <c r="G50" s="6">
        <f ca="1">IFERROR(__xludf.DUMMYFUNCTION("""COMPUTED_VALUE"""),71)</f>
        <v>71</v>
      </c>
      <c r="H50" s="6">
        <f ca="1">IFERROR(__xludf.DUMMYFUNCTION("""COMPUTED_VALUE"""),71)</f>
        <v>71</v>
      </c>
      <c r="I50" s="6">
        <f ca="1">IFERROR(__xludf.DUMMYFUNCTION("""COMPUTED_VALUE"""),71)</f>
        <v>71</v>
      </c>
      <c r="J50" s="6"/>
      <c r="K50" s="6"/>
      <c r="L50" s="6"/>
      <c r="M50" s="6">
        <f ca="1">IFERROR(__xludf.DUMMYFUNCTION("""COMPUTED_VALUE"""),213)</f>
        <v>213</v>
      </c>
      <c r="N50" s="6">
        <f ca="1">IFERROR(__xludf.DUMMYFUNCTION("""COMPUTED_VALUE"""),213)</f>
        <v>213</v>
      </c>
    </row>
    <row r="51" spans="1:14" ht="12.75">
      <c r="A51" s="6" t="str">
        <f ca="1">IFERROR(__xludf.DUMMYFUNCTION("""COMPUTED_VALUE"""),"Greg Mattias Murumets")</f>
        <v>Greg Mattias Murumets</v>
      </c>
      <c r="B51" s="6" t="str">
        <f ca="1">IFERROR(__xludf.DUMMYFUNCTION("""COMPUTED_VALUE"""),"Põlva")</f>
        <v>Põlva</v>
      </c>
      <c r="C51" s="6" t="str">
        <f ca="1">IFERROR(__xludf.DUMMYFUNCTION("""COMPUTED_VALUE"""),"M")</f>
        <v>M</v>
      </c>
      <c r="D51" s="6" t="str">
        <f ca="1">IFERROR(__xludf.DUMMYFUNCTION("""COMPUTED_VALUE"""),"25m .22 H9")</f>
        <v>25m .22 H9</v>
      </c>
      <c r="E51" s="6" t="str">
        <f ca="1">IFERROR(__xludf.DUMMYFUNCTION("""COMPUTED_VALUE"""),"Võistkond")</f>
        <v>Võistkond</v>
      </c>
      <c r="F51" s="6" t="str">
        <f ca="1">IFERROR(__xludf.DUMMYFUNCTION("""COMPUTED_VALUE"""),"10.09.23")</f>
        <v>10.09.23</v>
      </c>
      <c r="G51" s="6">
        <f ca="1">IFERROR(__xludf.DUMMYFUNCTION("""COMPUTED_VALUE"""),58)</f>
        <v>58</v>
      </c>
      <c r="H51" s="6">
        <f ca="1">IFERROR(__xludf.DUMMYFUNCTION("""COMPUTED_VALUE"""),73)</f>
        <v>73</v>
      </c>
      <c r="I51" s="6">
        <f ca="1">IFERROR(__xludf.DUMMYFUNCTION("""COMPUTED_VALUE"""),75)</f>
        <v>75</v>
      </c>
      <c r="J51" s="6"/>
      <c r="K51" s="6"/>
      <c r="L51" s="6"/>
      <c r="M51" s="6">
        <f ca="1">IFERROR(__xludf.DUMMYFUNCTION("""COMPUTED_VALUE"""),206)</f>
        <v>206</v>
      </c>
      <c r="N51" s="6">
        <f ca="1">IFERROR(__xludf.DUMMYFUNCTION("""COMPUTED_VALUE"""),206)</f>
        <v>206</v>
      </c>
    </row>
    <row r="52" spans="1:14" ht="12.75">
      <c r="A52" s="6" t="str">
        <f ca="1">IFERROR(__xludf.DUMMYFUNCTION("""COMPUTED_VALUE"""),"Tiiu Liivamaa")</f>
        <v>Tiiu Liivamaa</v>
      </c>
      <c r="B52" s="6" t="str">
        <f ca="1">IFERROR(__xludf.DUMMYFUNCTION("""COMPUTED_VALUE"""),"Harju")</f>
        <v>Harju</v>
      </c>
      <c r="C52" s="6" t="str">
        <f ca="1">IFERROR(__xludf.DUMMYFUNCTION("""COMPUTED_VALUE"""),"N")</f>
        <v>N</v>
      </c>
      <c r="D52" s="6" t="str">
        <f ca="1">IFERROR(__xludf.DUMMYFUNCTION("""COMPUTED_VALUE"""),"25m .22 H9")</f>
        <v>25m .22 H9</v>
      </c>
      <c r="E52" s="6" t="str">
        <f ca="1">IFERROR(__xludf.DUMMYFUNCTION("""COMPUTED_VALUE"""),"Võistkond")</f>
        <v>Võistkond</v>
      </c>
      <c r="F52" s="6" t="str">
        <f ca="1">IFERROR(__xludf.DUMMYFUNCTION("""COMPUTED_VALUE"""),"10.09.23")</f>
        <v>10.09.23</v>
      </c>
      <c r="G52" s="6">
        <f ca="1">IFERROR(__xludf.DUMMYFUNCTION("""COMPUTED_VALUE"""),72)</f>
        <v>72</v>
      </c>
      <c r="H52" s="6">
        <f ca="1">IFERROR(__xludf.DUMMYFUNCTION("""COMPUTED_VALUE"""),71)</f>
        <v>71</v>
      </c>
      <c r="I52" s="6">
        <f ca="1">IFERROR(__xludf.DUMMYFUNCTION("""COMPUTED_VALUE"""),49)</f>
        <v>49</v>
      </c>
      <c r="J52" s="6"/>
      <c r="K52" s="6"/>
      <c r="L52" s="6"/>
      <c r="M52" s="6">
        <f ca="1">IFERROR(__xludf.DUMMYFUNCTION("""COMPUTED_VALUE"""),192)</f>
        <v>192</v>
      </c>
      <c r="N52" s="6">
        <f ca="1">IFERROR(__xludf.DUMMYFUNCTION("""COMPUTED_VALUE"""),192)</f>
        <v>192</v>
      </c>
    </row>
    <row r="53" spans="1:14" ht="12.75">
      <c r="A53" s="6" t="str">
        <f ca="1">IFERROR(__xludf.DUMMYFUNCTION("""COMPUTED_VALUE"""),"Silver Juksaar")</f>
        <v>Silver Juksaar</v>
      </c>
      <c r="B53" s="6" t="str">
        <f ca="1">IFERROR(__xludf.DUMMYFUNCTION("""COMPUTED_VALUE"""),"Pärnumaa")</f>
        <v>Pärnumaa</v>
      </c>
      <c r="C53" s="6" t="str">
        <f ca="1">IFERROR(__xludf.DUMMYFUNCTION("""COMPUTED_VALUE"""),"MJ")</f>
        <v>MJ</v>
      </c>
      <c r="D53" s="6" t="str">
        <f ca="1">IFERROR(__xludf.DUMMYFUNCTION("""COMPUTED_VALUE"""),"25m .22 H9")</f>
        <v>25m .22 H9</v>
      </c>
      <c r="E53" s="6" t="str">
        <f ca="1">IFERROR(__xludf.DUMMYFUNCTION("""COMPUTED_VALUE"""),"Võistkond")</f>
        <v>Võistkond</v>
      </c>
      <c r="F53" s="6" t="str">
        <f ca="1">IFERROR(__xludf.DUMMYFUNCTION("""COMPUTED_VALUE"""),"09.09.23")</f>
        <v>09.09.23</v>
      </c>
      <c r="G53" s="6">
        <f ca="1">IFERROR(__xludf.DUMMYFUNCTION("""COMPUTED_VALUE"""),74)</f>
        <v>74</v>
      </c>
      <c r="H53" s="6">
        <f ca="1">IFERROR(__xludf.DUMMYFUNCTION("""COMPUTED_VALUE"""),55)</f>
        <v>55</v>
      </c>
      <c r="I53" s="6">
        <f ca="1">IFERROR(__xludf.DUMMYFUNCTION("""COMPUTED_VALUE"""),61)</f>
        <v>61</v>
      </c>
      <c r="J53" s="6"/>
      <c r="K53" s="6"/>
      <c r="L53" s="6"/>
      <c r="M53" s="6">
        <f ca="1">IFERROR(__xludf.DUMMYFUNCTION("""COMPUTED_VALUE"""),190)</f>
        <v>190</v>
      </c>
      <c r="N53" s="6">
        <f ca="1">IFERROR(__xludf.DUMMYFUNCTION("""COMPUTED_VALUE"""),190)</f>
        <v>190</v>
      </c>
    </row>
    <row r="54" spans="1:14" ht="12.75">
      <c r="A54" s="6" t="str">
        <f ca="1">IFERROR(__xludf.DUMMYFUNCTION("""COMPUTED_VALUE"""),"Peeter Tuusis")</f>
        <v>Peeter Tuusis</v>
      </c>
      <c r="B54" s="6" t="str">
        <f ca="1">IFERROR(__xludf.DUMMYFUNCTION("""COMPUTED_VALUE"""),"Võrumaa")</f>
        <v>Võrumaa</v>
      </c>
      <c r="C54" s="6" t="str">
        <f ca="1">IFERROR(__xludf.DUMMYFUNCTION("""COMPUTED_VALUE"""),"M")</f>
        <v>M</v>
      </c>
      <c r="D54" s="6" t="str">
        <f ca="1">IFERROR(__xludf.DUMMYFUNCTION("""COMPUTED_VALUE"""),"25m .22 H9")</f>
        <v>25m .22 H9</v>
      </c>
      <c r="E54" s="6" t="str">
        <f ca="1">IFERROR(__xludf.DUMMYFUNCTION("""COMPUTED_VALUE"""),"Võistkond")</f>
        <v>Võistkond</v>
      </c>
      <c r="F54" s="6" t="str">
        <f ca="1">IFERROR(__xludf.DUMMYFUNCTION("""COMPUTED_VALUE"""),"10.09.23")</f>
        <v>10.09.23</v>
      </c>
      <c r="G54" s="6">
        <f ca="1">IFERROR(__xludf.DUMMYFUNCTION("""COMPUTED_VALUE"""),56)</f>
        <v>56</v>
      </c>
      <c r="H54" s="6">
        <f ca="1">IFERROR(__xludf.DUMMYFUNCTION("""COMPUTED_VALUE"""),63)</f>
        <v>63</v>
      </c>
      <c r="I54" s="6">
        <f ca="1">IFERROR(__xludf.DUMMYFUNCTION("""COMPUTED_VALUE"""),55)</f>
        <v>55</v>
      </c>
      <c r="J54" s="6"/>
      <c r="K54" s="6"/>
      <c r="L54" s="6"/>
      <c r="M54" s="6">
        <f ca="1">IFERROR(__xludf.DUMMYFUNCTION("""COMPUTED_VALUE"""),174)</f>
        <v>174</v>
      </c>
      <c r="N54" s="6">
        <f ca="1">IFERROR(__xludf.DUMMYFUNCTION("""COMPUTED_VALUE"""),174)</f>
        <v>174</v>
      </c>
    </row>
    <row r="55" spans="1:14" ht="12.75">
      <c r="A55" s="6" t="str">
        <f ca="1">IFERROR(__xludf.DUMMYFUNCTION("""COMPUTED_VALUE"""),"Minna-Mai Kaas")</f>
        <v>Minna-Mai Kaas</v>
      </c>
      <c r="B55" s="6" t="str">
        <f ca="1">IFERROR(__xludf.DUMMYFUNCTION("""COMPUTED_VALUE"""),"Järva")</f>
        <v>Järva</v>
      </c>
      <c r="C55" s="6" t="str">
        <f ca="1">IFERROR(__xludf.DUMMYFUNCTION("""COMPUTED_VALUE"""),"NJ")</f>
        <v>NJ</v>
      </c>
      <c r="D55" s="6" t="str">
        <f ca="1">IFERROR(__xludf.DUMMYFUNCTION("""COMPUTED_VALUE"""),"25m .22 H9")</f>
        <v>25m .22 H9</v>
      </c>
      <c r="E55" s="6" t="str">
        <f ca="1">IFERROR(__xludf.DUMMYFUNCTION("""COMPUTED_VALUE"""),"Võistkond")</f>
        <v>Võistkond</v>
      </c>
      <c r="F55" s="6" t="str">
        <f ca="1">IFERROR(__xludf.DUMMYFUNCTION("""COMPUTED_VALUE"""),"09.09.23")</f>
        <v>09.09.23</v>
      </c>
      <c r="G55" s="6">
        <f ca="1">IFERROR(__xludf.DUMMYFUNCTION("""COMPUTED_VALUE"""),54)</f>
        <v>54</v>
      </c>
      <c r="H55" s="6">
        <f ca="1">IFERROR(__xludf.DUMMYFUNCTION("""COMPUTED_VALUE"""),62)</f>
        <v>62</v>
      </c>
      <c r="I55" s="6">
        <f ca="1">IFERROR(__xludf.DUMMYFUNCTION("""COMPUTED_VALUE"""),54)</f>
        <v>54</v>
      </c>
      <c r="J55" s="6"/>
      <c r="K55" s="6"/>
      <c r="L55" s="6"/>
      <c r="M55" s="6">
        <f ca="1">IFERROR(__xludf.DUMMYFUNCTION("""COMPUTED_VALUE"""),170)</f>
        <v>170</v>
      </c>
      <c r="N55" s="6">
        <f ca="1">IFERROR(__xludf.DUMMYFUNCTION("""COMPUTED_VALUE"""),170)</f>
        <v>170</v>
      </c>
    </row>
    <row r="56" spans="1:14" ht="12.75">
      <c r="A56" s="6" t="str">
        <f ca="1">IFERROR(__xludf.DUMMYFUNCTION("""COMPUTED_VALUE"""),"Andi Saaretalu")</f>
        <v>Andi Saaretalu</v>
      </c>
      <c r="B56" s="6" t="str">
        <f ca="1">IFERROR(__xludf.DUMMYFUNCTION("""COMPUTED_VALUE"""),"Võrumaa")</f>
        <v>Võrumaa</v>
      </c>
      <c r="C56" s="6" t="str">
        <f ca="1">IFERROR(__xludf.DUMMYFUNCTION("""COMPUTED_VALUE"""),"MJ")</f>
        <v>MJ</v>
      </c>
      <c r="D56" s="6" t="str">
        <f ca="1">IFERROR(__xludf.DUMMYFUNCTION("""COMPUTED_VALUE"""),"25m .22 H9")</f>
        <v>25m .22 H9</v>
      </c>
      <c r="E56" s="6" t="str">
        <f ca="1">IFERROR(__xludf.DUMMYFUNCTION("""COMPUTED_VALUE"""),"Võistkond")</f>
        <v>Võistkond</v>
      </c>
      <c r="F56" s="6" t="str">
        <f ca="1">IFERROR(__xludf.DUMMYFUNCTION("""COMPUTED_VALUE"""),"10.09.23")</f>
        <v>10.09.23</v>
      </c>
      <c r="G56" s="6">
        <f ca="1">IFERROR(__xludf.DUMMYFUNCTION("""COMPUTED_VALUE"""),44)</f>
        <v>44</v>
      </c>
      <c r="H56" s="6">
        <f ca="1">IFERROR(__xludf.DUMMYFUNCTION("""COMPUTED_VALUE"""),32)</f>
        <v>32</v>
      </c>
      <c r="I56" s="6">
        <f ca="1">IFERROR(__xludf.DUMMYFUNCTION("""COMPUTED_VALUE"""),77)</f>
        <v>77</v>
      </c>
      <c r="J56" s="6"/>
      <c r="K56" s="6"/>
      <c r="L56" s="6"/>
      <c r="M56" s="6">
        <f ca="1">IFERROR(__xludf.DUMMYFUNCTION("""COMPUTED_VALUE"""),153)</f>
        <v>153</v>
      </c>
      <c r="N56" s="6">
        <f ca="1">IFERROR(__xludf.DUMMYFUNCTION("""COMPUTED_VALUE"""),153)</f>
        <v>153</v>
      </c>
    </row>
    <row r="57" spans="1:14" ht="12.75">
      <c r="A57" s="6" t="str">
        <f ca="1">IFERROR(__xludf.DUMMYFUNCTION("""COMPUTED_VALUE"""),"Laura Saar")</f>
        <v>Laura Saar</v>
      </c>
      <c r="B57" s="6" t="str">
        <f ca="1">IFERROR(__xludf.DUMMYFUNCTION("""COMPUTED_VALUE"""),"Võrumaa")</f>
        <v>Võrumaa</v>
      </c>
      <c r="C57" s="6" t="str">
        <f ca="1">IFERROR(__xludf.DUMMYFUNCTION("""COMPUTED_VALUE"""),"NJ")</f>
        <v>NJ</v>
      </c>
      <c r="D57" s="6" t="str">
        <f ca="1">IFERROR(__xludf.DUMMYFUNCTION("""COMPUTED_VALUE"""),"25m .22 H9")</f>
        <v>25m .22 H9</v>
      </c>
      <c r="E57" s="6" t="str">
        <f ca="1">IFERROR(__xludf.DUMMYFUNCTION("""COMPUTED_VALUE"""),"Võistkond")</f>
        <v>Võistkond</v>
      </c>
      <c r="F57" s="6" t="str">
        <f ca="1">IFERROR(__xludf.DUMMYFUNCTION("""COMPUTED_VALUE"""),"10.09.23")</f>
        <v>10.09.23</v>
      </c>
      <c r="G57" s="6">
        <f ca="1">IFERROR(__xludf.DUMMYFUNCTION("""COMPUTED_VALUE"""),42)</f>
        <v>42</v>
      </c>
      <c r="H57" s="6">
        <f ca="1">IFERROR(__xludf.DUMMYFUNCTION("""COMPUTED_VALUE"""),26)</f>
        <v>26</v>
      </c>
      <c r="I57" s="6">
        <f ca="1">IFERROR(__xludf.DUMMYFUNCTION("""COMPUTED_VALUE"""),23)</f>
        <v>23</v>
      </c>
      <c r="J57" s="6"/>
      <c r="K57" s="6"/>
      <c r="L57" s="6"/>
      <c r="M57" s="6">
        <f ca="1">IFERROR(__xludf.DUMMYFUNCTION("""COMPUTED_VALUE"""),91)</f>
        <v>91</v>
      </c>
      <c r="N57" s="6">
        <f ca="1">IFERROR(__xludf.DUMMYFUNCTION("""COMPUTED_VALUE"""),91)</f>
        <v>91</v>
      </c>
    </row>
    <row r="70" spans="1:14" ht="12.75">
      <c r="A70" s="6" t="s">
        <v>47</v>
      </c>
    </row>
    <row r="71" spans="1:14" ht="12.75">
      <c r="A71" s="15" t="s">
        <v>48</v>
      </c>
      <c r="B71" s="16" t="s">
        <v>25</v>
      </c>
      <c r="C71" s="15" t="s">
        <v>49</v>
      </c>
      <c r="D71" s="16" t="s">
        <v>50</v>
      </c>
      <c r="E71" s="15" t="s">
        <v>51</v>
      </c>
      <c r="F71" s="15" t="s">
        <v>52</v>
      </c>
      <c r="G71" s="6">
        <v>92</v>
      </c>
      <c r="H71" s="6">
        <v>96</v>
      </c>
      <c r="I71" s="6">
        <v>94</v>
      </c>
      <c r="M71" s="6">
        <f>SUM(G71,H71,I71,J71,K71,L71)</f>
        <v>282</v>
      </c>
      <c r="N71" s="15">
        <f>M71/6*3</f>
        <v>141</v>
      </c>
    </row>
  </sheetData>
  <customSheetViews>
    <customSheetView guid="{D62DDC4C-59BB-4432-B124-0F0C79006E1E}" filter="1" showAutoFilter="1">
      <pageMargins left="0.7" right="0.7" top="0.75" bottom="0.75" header="0.3" footer="0.3"/>
      <autoFilter ref="A2:N1000" xr:uid="{505462A5-1071-4100-941D-58D055102821}">
        <filterColumn colId="2">
          <filters blank="1">
            <filter val="MJ"/>
          </filters>
        </filterColumn>
        <filterColumn colId="3">
          <filters>
            <filter val="H8"/>
            <filter val="25m .22 H9"/>
          </filters>
        </filterColumn>
      </autoFilter>
    </customSheetView>
    <customSheetView guid="{B20DF795-D29E-4948-9725-1A28AFE2DB46}" filter="1" showAutoFilter="1">
      <pageMargins left="0.7" right="0.7" top="0.75" bottom="0.75" header="0.3" footer="0.3"/>
      <autoFilter ref="A2:N1000" xr:uid="{94C14BC8-4271-4A65-BA43-AB9EFC1A541F}">
        <filterColumn colId="2">
          <filters blank="1">
            <filter val="NJ"/>
          </filters>
        </filterColumn>
        <filterColumn colId="3">
          <filters>
            <filter val="H8"/>
            <filter val="25m .22 H9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CF01E562-BD8E-4BD3-BFD3-BD4B35D10369}">
        <filterColumn colId="2">
          <filters blank="1">
            <filter val="M"/>
          </filters>
        </filterColumn>
        <filterColumn colId="3">
          <filters>
            <filter val="H8"/>
            <filter val="25m .22 H9"/>
          </filters>
        </filterColumn>
      </autoFilter>
    </customSheetView>
    <customSheetView guid="{845FBECC-592C-4475-9184-0C9DD86A8A6D}" filter="1" showAutoFilter="1">
      <pageMargins left="0.7" right="0.7" top="0.75" bottom="0.75" header="0.3" footer="0.3"/>
      <autoFilter ref="A2:N1000" xr:uid="{9B532CC8-16C2-4557-8961-B238B0425425}">
        <filterColumn colId="2">
          <filters blank="1">
            <filter val="N"/>
          </filters>
        </filterColumn>
        <filterColumn colId="3">
          <filters>
            <filter val="H8"/>
            <filter val="25m .22 H9"/>
          </filters>
        </filterColumn>
      </autoFilter>
    </customSheetView>
  </customSheetViews>
  <mergeCells count="1">
    <mergeCell ref="I1:N1"/>
  </mergeCells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C00-000000000000}">
          <x14:formula1>
            <xm:f>Valikud!$F$3:$F$498</xm:f>
          </x14:formula1>
          <xm:sqref>A71</xm:sqref>
        </x14:dataValidation>
        <x14:dataValidation type="list" allowBlank="1" xr:uid="{00000000-0002-0000-0C00-000001000000}">
          <x14:formula1>
            <xm:f>Valikud!$A$3:$A$4</xm:f>
          </x14:formula1>
          <xm:sqref>E71</xm:sqref>
        </x14:dataValidation>
        <x14:dataValidation type="list" allowBlank="1" xr:uid="{00000000-0002-0000-0C00-000002000000}">
          <x14:formula1>
            <xm:f>Valikud!$E$3:$E$19</xm:f>
          </x14:formula1>
          <xm:sqref>B71</xm:sqref>
        </x14:dataValidation>
        <x14:dataValidation type="list" allowBlank="1" xr:uid="{00000000-0002-0000-0C00-000003000000}">
          <x14:formula1>
            <xm:f>Valikud!$B$3:$B$12</xm:f>
          </x14:formula1>
          <xm:sqref>D71</xm:sqref>
        </x14:dataValidation>
        <x14:dataValidation type="list" allowBlank="1" xr:uid="{00000000-0002-0000-0C00-000004000000}">
          <x14:formula1>
            <xm:f>Valikud!$C$3:$C$8</xm:f>
          </x14:formula1>
          <xm:sqref>C71</xm:sqref>
        </x14:dataValidation>
        <x14:dataValidation type="list" allowBlank="1" xr:uid="{00000000-0002-0000-0C00-000005000000}">
          <x14:formula1>
            <xm:f>Valikud!$D$3:$D$4</xm:f>
          </x14:formula1>
          <xm:sqref>F71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W999"/>
  <sheetViews>
    <sheetView workbookViewId="0"/>
  </sheetViews>
  <sheetFormatPr defaultColWidth="12.5703125" defaultRowHeight="15.75" customHeight="1"/>
  <cols>
    <col min="1" max="1" width="18.5703125" customWidth="1"/>
    <col min="2" max="3" width="5.5703125" customWidth="1"/>
    <col min="4" max="4" width="7.7109375" customWidth="1"/>
    <col min="5" max="5" width="7.28515625" customWidth="1"/>
    <col min="6" max="6" width="6.85546875" customWidth="1"/>
    <col min="7" max="9" width="5.5703125" customWidth="1"/>
    <col min="10" max="10" width="8.42578125" customWidth="1"/>
    <col min="11" max="11" width="5.5703125" customWidth="1"/>
    <col min="12" max="12" width="11.28515625" customWidth="1"/>
    <col min="13" max="13" width="8.85546875" customWidth="1"/>
  </cols>
  <sheetData>
    <row r="1" spans="1:23" ht="12.75">
      <c r="A1" s="47" t="s">
        <v>369</v>
      </c>
      <c r="B1" s="48" t="s">
        <v>49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/>
    <row r="3" spans="1:23" ht="12.75">
      <c r="A3" s="30" t="s">
        <v>53</v>
      </c>
      <c r="B3" s="30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23" ht="12.75">
      <c r="A4" s="30" t="s">
        <v>54</v>
      </c>
      <c r="B4" s="33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425</v>
      </c>
    </row>
    <row r="5" spans="1:23" ht="12.75">
      <c r="A5" s="33" t="s">
        <v>55</v>
      </c>
      <c r="B5" s="36">
        <v>271</v>
      </c>
      <c r="C5" s="37"/>
      <c r="D5" s="37"/>
      <c r="E5" s="37"/>
      <c r="F5" s="37"/>
      <c r="G5" s="37">
        <v>196</v>
      </c>
      <c r="H5" s="37"/>
      <c r="I5" s="37">
        <v>523</v>
      </c>
      <c r="J5" s="37">
        <v>302</v>
      </c>
      <c r="K5" s="37"/>
      <c r="L5" s="38">
        <v>1292</v>
      </c>
    </row>
    <row r="6" spans="1:23" ht="12.75">
      <c r="A6" s="39" t="s">
        <v>56</v>
      </c>
      <c r="B6" s="40">
        <v>275</v>
      </c>
      <c r="C6" s="41">
        <v>163</v>
      </c>
      <c r="D6" s="41"/>
      <c r="E6" s="41"/>
      <c r="F6" s="41">
        <v>262</v>
      </c>
      <c r="G6" s="41">
        <v>234</v>
      </c>
      <c r="H6" s="41"/>
      <c r="I6" s="41"/>
      <c r="J6" s="41"/>
      <c r="K6" s="41">
        <v>182</v>
      </c>
      <c r="L6" s="42">
        <v>1116</v>
      </c>
    </row>
    <row r="7" spans="1:23" ht="17.25" customHeight="1">
      <c r="A7" s="39" t="s">
        <v>57</v>
      </c>
      <c r="B7" s="40">
        <v>279</v>
      </c>
      <c r="C7" s="41">
        <v>141</v>
      </c>
      <c r="D7" s="41"/>
      <c r="E7" s="41"/>
      <c r="F7" s="41">
        <v>245</v>
      </c>
      <c r="G7" s="41"/>
      <c r="H7" s="41">
        <v>260</v>
      </c>
      <c r="I7" s="41"/>
      <c r="J7" s="41"/>
      <c r="K7" s="41">
        <v>168</v>
      </c>
      <c r="L7" s="42">
        <v>1093</v>
      </c>
    </row>
    <row r="8" spans="1:23" ht="12.75">
      <c r="A8" s="39" t="s">
        <v>58</v>
      </c>
      <c r="B8" s="40">
        <v>283</v>
      </c>
      <c r="C8" s="41"/>
      <c r="D8" s="41"/>
      <c r="E8" s="41">
        <v>278</v>
      </c>
      <c r="F8" s="41">
        <v>264</v>
      </c>
      <c r="G8" s="41">
        <v>227</v>
      </c>
      <c r="H8" s="41"/>
      <c r="I8" s="41"/>
      <c r="J8" s="41"/>
      <c r="K8" s="41"/>
      <c r="L8" s="42">
        <v>1052</v>
      </c>
    </row>
    <row r="9" spans="1:23" ht="12.75">
      <c r="A9" s="39" t="s">
        <v>59</v>
      </c>
      <c r="B9" s="40"/>
      <c r="C9" s="41">
        <v>158</v>
      </c>
      <c r="D9" s="41">
        <v>589</v>
      </c>
      <c r="E9" s="41"/>
      <c r="F9" s="41">
        <v>268</v>
      </c>
      <c r="G9" s="41"/>
      <c r="H9" s="41"/>
      <c r="I9" s="41"/>
      <c r="J9" s="41"/>
      <c r="K9" s="41"/>
      <c r="L9" s="42">
        <v>1015</v>
      </c>
    </row>
    <row r="10" spans="1:23" ht="12.75">
      <c r="A10" s="39" t="s">
        <v>60</v>
      </c>
      <c r="B10" s="40">
        <v>268</v>
      </c>
      <c r="C10" s="41"/>
      <c r="D10" s="41"/>
      <c r="E10" s="41"/>
      <c r="F10" s="41">
        <v>266</v>
      </c>
      <c r="G10" s="41">
        <v>248</v>
      </c>
      <c r="H10" s="41"/>
      <c r="I10" s="41"/>
      <c r="J10" s="41"/>
      <c r="K10" s="41">
        <v>189</v>
      </c>
      <c r="L10" s="42">
        <v>971</v>
      </c>
    </row>
    <row r="11" spans="1:23" ht="12.75">
      <c r="A11" s="39" t="s">
        <v>61</v>
      </c>
      <c r="B11" s="40">
        <v>282</v>
      </c>
      <c r="C11" s="41">
        <v>174</v>
      </c>
      <c r="D11" s="41"/>
      <c r="E11" s="41"/>
      <c r="F11" s="41"/>
      <c r="G11" s="41">
        <v>262</v>
      </c>
      <c r="H11" s="41"/>
      <c r="I11" s="41"/>
      <c r="J11" s="41"/>
      <c r="K11" s="41">
        <v>181</v>
      </c>
      <c r="L11" s="42">
        <v>899</v>
      </c>
    </row>
    <row r="12" spans="1:23" ht="12.75">
      <c r="A12" s="39" t="s">
        <v>62</v>
      </c>
      <c r="B12" s="40"/>
      <c r="C12" s="41"/>
      <c r="D12" s="41"/>
      <c r="E12" s="41"/>
      <c r="F12" s="41"/>
      <c r="G12" s="41"/>
      <c r="H12" s="41"/>
      <c r="I12" s="41">
        <v>583</v>
      </c>
      <c r="J12" s="41">
        <v>313.20000000000005</v>
      </c>
      <c r="K12" s="41"/>
      <c r="L12" s="42">
        <v>896.2</v>
      </c>
    </row>
    <row r="13" spans="1:23" ht="12.75">
      <c r="A13" s="39" t="s">
        <v>63</v>
      </c>
      <c r="B13" s="40">
        <v>266</v>
      </c>
      <c r="C13" s="41">
        <v>150</v>
      </c>
      <c r="D13" s="41"/>
      <c r="E13" s="41"/>
      <c r="F13" s="41">
        <v>265</v>
      </c>
      <c r="G13" s="41"/>
      <c r="H13" s="41"/>
      <c r="I13" s="41"/>
      <c r="J13" s="41"/>
      <c r="K13" s="41">
        <v>191</v>
      </c>
      <c r="L13" s="42">
        <v>872</v>
      </c>
    </row>
    <row r="14" spans="1:23" ht="12.75">
      <c r="A14" s="39" t="s">
        <v>64</v>
      </c>
      <c r="B14" s="40"/>
      <c r="C14" s="41"/>
      <c r="D14" s="41"/>
      <c r="E14" s="41"/>
      <c r="F14" s="41"/>
      <c r="G14" s="41"/>
      <c r="H14" s="41"/>
      <c r="I14" s="41">
        <v>565</v>
      </c>
      <c r="J14" s="41">
        <v>304.2</v>
      </c>
      <c r="K14" s="41"/>
      <c r="L14" s="42">
        <v>869.2</v>
      </c>
    </row>
    <row r="15" spans="1:23" ht="12.75">
      <c r="A15" s="39" t="s">
        <v>65</v>
      </c>
      <c r="B15" s="40"/>
      <c r="C15" s="41"/>
      <c r="D15" s="41"/>
      <c r="E15" s="41"/>
      <c r="F15" s="41"/>
      <c r="G15" s="41"/>
      <c r="H15" s="41"/>
      <c r="I15" s="41">
        <v>554</v>
      </c>
      <c r="J15" s="41">
        <v>303.39999999999998</v>
      </c>
      <c r="K15" s="41"/>
      <c r="L15" s="42">
        <v>857.4</v>
      </c>
    </row>
    <row r="16" spans="1:23" ht="12.75">
      <c r="A16" s="39" t="s">
        <v>66</v>
      </c>
      <c r="B16" s="40">
        <v>280</v>
      </c>
      <c r="C16" s="41"/>
      <c r="D16" s="41"/>
      <c r="E16" s="41"/>
      <c r="F16" s="41"/>
      <c r="G16" s="41"/>
      <c r="H16" s="41"/>
      <c r="I16" s="41">
        <v>571</v>
      </c>
      <c r="J16" s="41"/>
      <c r="K16" s="41"/>
      <c r="L16" s="42">
        <v>851</v>
      </c>
    </row>
    <row r="17" spans="1:12" ht="12.75">
      <c r="A17" s="39" t="s">
        <v>67</v>
      </c>
      <c r="B17" s="40"/>
      <c r="C17" s="41"/>
      <c r="D17" s="41">
        <v>577</v>
      </c>
      <c r="E17" s="41"/>
      <c r="F17" s="41">
        <v>270</v>
      </c>
      <c r="G17" s="41"/>
      <c r="H17" s="41"/>
      <c r="I17" s="41"/>
      <c r="J17" s="41"/>
      <c r="K17" s="41"/>
      <c r="L17" s="42">
        <v>847</v>
      </c>
    </row>
    <row r="18" spans="1:12" ht="12.75">
      <c r="A18" s="39" t="s">
        <v>68</v>
      </c>
      <c r="B18" s="40"/>
      <c r="C18" s="41">
        <v>174</v>
      </c>
      <c r="D18" s="41"/>
      <c r="E18" s="41"/>
      <c r="F18" s="41"/>
      <c r="G18" s="41">
        <v>243</v>
      </c>
      <c r="H18" s="41">
        <v>250</v>
      </c>
      <c r="I18" s="41"/>
      <c r="J18" s="41"/>
      <c r="K18" s="41">
        <v>178</v>
      </c>
      <c r="L18" s="42">
        <v>845</v>
      </c>
    </row>
    <row r="19" spans="1:12" ht="12.75">
      <c r="A19" s="39" t="s">
        <v>69</v>
      </c>
      <c r="B19" s="40"/>
      <c r="C19" s="41"/>
      <c r="D19" s="41">
        <v>555</v>
      </c>
      <c r="E19" s="41">
        <v>289</v>
      </c>
      <c r="F19" s="41"/>
      <c r="G19" s="41"/>
      <c r="H19" s="41"/>
      <c r="I19" s="41"/>
      <c r="J19" s="41"/>
      <c r="K19" s="41"/>
      <c r="L19" s="42">
        <v>844</v>
      </c>
    </row>
    <row r="20" spans="1:12" ht="12.75">
      <c r="A20" s="39" t="s">
        <v>70</v>
      </c>
      <c r="B20" s="40"/>
      <c r="C20" s="41"/>
      <c r="D20" s="41"/>
      <c r="E20" s="41"/>
      <c r="F20" s="41"/>
      <c r="G20" s="41"/>
      <c r="H20" s="41"/>
      <c r="I20" s="41">
        <v>548</v>
      </c>
      <c r="J20" s="41">
        <v>290.3</v>
      </c>
      <c r="K20" s="41"/>
      <c r="L20" s="42">
        <v>838.3</v>
      </c>
    </row>
    <row r="21" spans="1:12" ht="12.75">
      <c r="A21" s="39" t="s">
        <v>71</v>
      </c>
      <c r="B21" s="40">
        <v>279</v>
      </c>
      <c r="C21" s="41"/>
      <c r="D21" s="41"/>
      <c r="E21" s="41"/>
      <c r="F21" s="41"/>
      <c r="G21" s="41"/>
      <c r="H21" s="41"/>
      <c r="I21" s="41">
        <v>554</v>
      </c>
      <c r="J21" s="41"/>
      <c r="K21" s="41"/>
      <c r="L21" s="42">
        <v>833</v>
      </c>
    </row>
    <row r="22" spans="1:12" ht="12.75">
      <c r="A22" s="39" t="s">
        <v>72</v>
      </c>
      <c r="B22" s="40">
        <v>284</v>
      </c>
      <c r="C22" s="41"/>
      <c r="D22" s="41"/>
      <c r="E22" s="41"/>
      <c r="F22" s="41"/>
      <c r="G22" s="41"/>
      <c r="H22" s="41"/>
      <c r="I22" s="41">
        <v>546</v>
      </c>
      <c r="J22" s="41"/>
      <c r="K22" s="41"/>
      <c r="L22" s="42">
        <v>830</v>
      </c>
    </row>
    <row r="23" spans="1:12" ht="12.75">
      <c r="A23" s="39" t="s">
        <v>73</v>
      </c>
      <c r="B23" s="40"/>
      <c r="C23" s="41"/>
      <c r="D23" s="41"/>
      <c r="E23" s="41"/>
      <c r="F23" s="41"/>
      <c r="G23" s="41"/>
      <c r="H23" s="41"/>
      <c r="I23" s="41">
        <v>534</v>
      </c>
      <c r="J23" s="41">
        <v>293.40000000000003</v>
      </c>
      <c r="K23" s="41"/>
      <c r="L23" s="42">
        <v>827.40000000000009</v>
      </c>
    </row>
    <row r="24" spans="1:12" ht="12.75">
      <c r="A24" s="39" t="s">
        <v>74</v>
      </c>
      <c r="B24" s="40"/>
      <c r="C24" s="41"/>
      <c r="D24" s="41">
        <v>543</v>
      </c>
      <c r="E24" s="41">
        <v>267</v>
      </c>
      <c r="F24" s="41"/>
      <c r="G24" s="41"/>
      <c r="H24" s="41"/>
      <c r="I24" s="41"/>
      <c r="J24" s="41"/>
      <c r="K24" s="41"/>
      <c r="L24" s="42">
        <v>810</v>
      </c>
    </row>
    <row r="25" spans="1:12" ht="12.75">
      <c r="A25" s="39" t="s">
        <v>75</v>
      </c>
      <c r="B25" s="40">
        <v>263</v>
      </c>
      <c r="C25" s="41"/>
      <c r="D25" s="41"/>
      <c r="E25" s="41"/>
      <c r="F25" s="41"/>
      <c r="G25" s="41">
        <v>203</v>
      </c>
      <c r="H25" s="41"/>
      <c r="I25" s="41"/>
      <c r="J25" s="41">
        <v>269.79999999999995</v>
      </c>
      <c r="K25" s="41"/>
      <c r="L25" s="42">
        <v>735.8</v>
      </c>
    </row>
    <row r="26" spans="1:12" ht="12.75">
      <c r="A26" s="39" t="s">
        <v>76</v>
      </c>
      <c r="B26" s="40"/>
      <c r="C26" s="41"/>
      <c r="D26" s="41">
        <v>505</v>
      </c>
      <c r="E26" s="41"/>
      <c r="F26" s="41"/>
      <c r="G26" s="41">
        <v>217</v>
      </c>
      <c r="H26" s="41"/>
      <c r="I26" s="41"/>
      <c r="J26" s="41"/>
      <c r="K26" s="41"/>
      <c r="L26" s="42">
        <v>722</v>
      </c>
    </row>
    <row r="27" spans="1:12" ht="12.75">
      <c r="A27" s="39" t="s">
        <v>77</v>
      </c>
      <c r="B27" s="40"/>
      <c r="C27" s="41"/>
      <c r="D27" s="41"/>
      <c r="E27" s="41">
        <v>206</v>
      </c>
      <c r="F27" s="41"/>
      <c r="G27" s="41"/>
      <c r="H27" s="41"/>
      <c r="I27" s="41">
        <v>507</v>
      </c>
      <c r="J27" s="41"/>
      <c r="K27" s="41"/>
      <c r="L27" s="42">
        <v>713</v>
      </c>
    </row>
    <row r="28" spans="1:12" ht="12.75">
      <c r="A28" s="39" t="s">
        <v>78</v>
      </c>
      <c r="B28" s="40">
        <v>281</v>
      </c>
      <c r="C28" s="41">
        <v>179</v>
      </c>
      <c r="D28" s="41"/>
      <c r="E28" s="41"/>
      <c r="F28" s="41"/>
      <c r="G28" s="41">
        <v>243</v>
      </c>
      <c r="H28" s="41"/>
      <c r="I28" s="41"/>
      <c r="J28" s="41"/>
      <c r="K28" s="41"/>
      <c r="L28" s="42">
        <v>703</v>
      </c>
    </row>
    <row r="29" spans="1:12" ht="12.75">
      <c r="A29" s="39" t="s">
        <v>79</v>
      </c>
      <c r="B29" s="40"/>
      <c r="C29" s="41"/>
      <c r="D29" s="41"/>
      <c r="E29" s="41"/>
      <c r="F29" s="41"/>
      <c r="G29" s="41">
        <v>236</v>
      </c>
      <c r="H29" s="41"/>
      <c r="I29" s="41"/>
      <c r="J29" s="41">
        <v>280.10000000000002</v>
      </c>
      <c r="K29" s="41">
        <v>170</v>
      </c>
      <c r="L29" s="42">
        <v>686.1</v>
      </c>
    </row>
    <row r="30" spans="1:12" ht="12.75">
      <c r="A30" s="39" t="s">
        <v>80</v>
      </c>
      <c r="B30" s="40"/>
      <c r="C30" s="41">
        <v>119</v>
      </c>
      <c r="D30" s="41"/>
      <c r="E30" s="41">
        <v>254</v>
      </c>
      <c r="F30" s="41"/>
      <c r="G30" s="41"/>
      <c r="H30" s="41">
        <v>288</v>
      </c>
      <c r="I30" s="41"/>
      <c r="J30" s="41"/>
      <c r="K30" s="41"/>
      <c r="L30" s="42">
        <v>661</v>
      </c>
    </row>
    <row r="31" spans="1:12" ht="12.75">
      <c r="A31" s="39" t="s">
        <v>81</v>
      </c>
      <c r="B31" s="40"/>
      <c r="C31" s="41">
        <v>184</v>
      </c>
      <c r="D31" s="41"/>
      <c r="E31" s="41">
        <v>271</v>
      </c>
      <c r="F31" s="41"/>
      <c r="G31" s="41"/>
      <c r="H31" s="41"/>
      <c r="I31" s="41"/>
      <c r="J31" s="41"/>
      <c r="K31" s="41">
        <v>188</v>
      </c>
      <c r="L31" s="42">
        <v>643</v>
      </c>
    </row>
    <row r="32" spans="1:12" ht="12.75">
      <c r="A32" s="39" t="s">
        <v>82</v>
      </c>
      <c r="B32" s="40"/>
      <c r="C32" s="41">
        <v>166</v>
      </c>
      <c r="D32" s="41"/>
      <c r="E32" s="41"/>
      <c r="F32" s="41"/>
      <c r="G32" s="41">
        <v>235</v>
      </c>
      <c r="H32" s="41">
        <v>240</v>
      </c>
      <c r="I32" s="41"/>
      <c r="J32" s="41"/>
      <c r="K32" s="41"/>
      <c r="L32" s="42">
        <v>641</v>
      </c>
    </row>
    <row r="33" spans="1:12" ht="12.75">
      <c r="A33" s="39" t="s">
        <v>83</v>
      </c>
      <c r="B33" s="40"/>
      <c r="C33" s="41">
        <v>167</v>
      </c>
      <c r="D33" s="41"/>
      <c r="E33" s="41"/>
      <c r="F33" s="41">
        <v>259</v>
      </c>
      <c r="G33" s="41">
        <v>211</v>
      </c>
      <c r="H33" s="41"/>
      <c r="I33" s="41"/>
      <c r="J33" s="41"/>
      <c r="K33" s="41"/>
      <c r="L33" s="42">
        <v>637</v>
      </c>
    </row>
    <row r="34" spans="1:12" ht="12.75">
      <c r="A34" s="39" t="s">
        <v>84</v>
      </c>
      <c r="B34" s="40">
        <v>265</v>
      </c>
      <c r="C34" s="41">
        <v>146</v>
      </c>
      <c r="D34" s="41"/>
      <c r="E34" s="41"/>
      <c r="F34" s="41"/>
      <c r="G34" s="41">
        <v>209</v>
      </c>
      <c r="H34" s="41"/>
      <c r="I34" s="41"/>
      <c r="J34" s="41"/>
      <c r="K34" s="41"/>
      <c r="L34" s="42">
        <v>620</v>
      </c>
    </row>
    <row r="35" spans="1:12" ht="12.75">
      <c r="A35" s="39" t="s">
        <v>85</v>
      </c>
      <c r="B35" s="40">
        <v>259</v>
      </c>
      <c r="C35" s="41">
        <v>171</v>
      </c>
      <c r="D35" s="41"/>
      <c r="E35" s="41"/>
      <c r="F35" s="41"/>
      <c r="G35" s="41"/>
      <c r="H35" s="41"/>
      <c r="I35" s="41"/>
      <c r="J35" s="41"/>
      <c r="K35" s="41">
        <v>178</v>
      </c>
      <c r="L35" s="42">
        <v>608</v>
      </c>
    </row>
    <row r="36" spans="1:12" ht="12.75">
      <c r="A36" s="39" t="s">
        <v>86</v>
      </c>
      <c r="B36" s="40"/>
      <c r="C36" s="41">
        <v>162</v>
      </c>
      <c r="D36" s="41"/>
      <c r="E36" s="41"/>
      <c r="F36" s="41"/>
      <c r="G36" s="41"/>
      <c r="H36" s="41">
        <v>266</v>
      </c>
      <c r="I36" s="41"/>
      <c r="J36" s="41"/>
      <c r="K36" s="41">
        <v>164</v>
      </c>
      <c r="L36" s="42">
        <v>592</v>
      </c>
    </row>
    <row r="37" spans="1:12" ht="12.75">
      <c r="A37" s="39" t="s">
        <v>87</v>
      </c>
      <c r="B37" s="40"/>
      <c r="C37" s="41">
        <v>140</v>
      </c>
      <c r="D37" s="41"/>
      <c r="E37" s="41"/>
      <c r="F37" s="41">
        <v>256</v>
      </c>
      <c r="G37" s="41"/>
      <c r="H37" s="41"/>
      <c r="I37" s="41"/>
      <c r="J37" s="41"/>
      <c r="K37" s="41">
        <v>177</v>
      </c>
      <c r="L37" s="42">
        <v>573</v>
      </c>
    </row>
    <row r="38" spans="1:12" ht="12.75">
      <c r="A38" s="39" t="s">
        <v>88</v>
      </c>
      <c r="B38" s="40">
        <v>262</v>
      </c>
      <c r="C38" s="41"/>
      <c r="D38" s="41"/>
      <c r="E38" s="41"/>
      <c r="F38" s="41"/>
      <c r="G38" s="41"/>
      <c r="H38" s="41"/>
      <c r="I38" s="41"/>
      <c r="J38" s="41">
        <v>304.79999999999995</v>
      </c>
      <c r="K38" s="41"/>
      <c r="L38" s="42">
        <v>566.79999999999995</v>
      </c>
    </row>
    <row r="39" spans="1:12" ht="12.75">
      <c r="A39" s="39" t="s">
        <v>89</v>
      </c>
      <c r="B39" s="40"/>
      <c r="C39" s="41"/>
      <c r="D39" s="41">
        <v>268</v>
      </c>
      <c r="E39" s="41"/>
      <c r="F39" s="41"/>
      <c r="G39" s="41"/>
      <c r="H39" s="41">
        <v>297</v>
      </c>
      <c r="I39" s="41"/>
      <c r="J39" s="41"/>
      <c r="K39" s="41"/>
      <c r="L39" s="42">
        <v>565</v>
      </c>
    </row>
    <row r="40" spans="1:12" ht="12.75">
      <c r="A40" s="39" t="s">
        <v>90</v>
      </c>
      <c r="B40" s="40"/>
      <c r="C40" s="41"/>
      <c r="D40" s="41">
        <v>564</v>
      </c>
      <c r="E40" s="41"/>
      <c r="F40" s="41"/>
      <c r="G40" s="41"/>
      <c r="H40" s="41"/>
      <c r="I40" s="41"/>
      <c r="J40" s="41"/>
      <c r="K40" s="41"/>
      <c r="L40" s="42">
        <v>564</v>
      </c>
    </row>
    <row r="41" spans="1:12" ht="12.75">
      <c r="A41" s="39" t="s">
        <v>91</v>
      </c>
      <c r="B41" s="40"/>
      <c r="C41" s="41"/>
      <c r="D41" s="41"/>
      <c r="E41" s="41"/>
      <c r="F41" s="41"/>
      <c r="G41" s="41"/>
      <c r="H41" s="41"/>
      <c r="I41" s="41">
        <v>562</v>
      </c>
      <c r="J41" s="41"/>
      <c r="K41" s="41"/>
      <c r="L41" s="42">
        <v>562</v>
      </c>
    </row>
    <row r="42" spans="1:12" ht="12.75">
      <c r="A42" s="39" t="s">
        <v>92</v>
      </c>
      <c r="B42" s="40">
        <v>228</v>
      </c>
      <c r="C42" s="41">
        <v>153</v>
      </c>
      <c r="D42" s="41"/>
      <c r="E42" s="41"/>
      <c r="F42" s="41"/>
      <c r="G42" s="41">
        <v>169</v>
      </c>
      <c r="H42" s="41"/>
      <c r="I42" s="41"/>
      <c r="J42" s="41"/>
      <c r="K42" s="41"/>
      <c r="L42" s="42">
        <v>550</v>
      </c>
    </row>
    <row r="43" spans="1:12" ht="12.75">
      <c r="A43" s="39" t="s">
        <v>93</v>
      </c>
      <c r="B43" s="40"/>
      <c r="C43" s="41"/>
      <c r="D43" s="41"/>
      <c r="E43" s="41"/>
      <c r="F43" s="41"/>
      <c r="G43" s="41"/>
      <c r="H43" s="41"/>
      <c r="I43" s="41">
        <v>549</v>
      </c>
      <c r="J43" s="41"/>
      <c r="K43" s="41"/>
      <c r="L43" s="42">
        <v>549</v>
      </c>
    </row>
    <row r="44" spans="1:12" ht="12.75">
      <c r="A44" s="39" t="s">
        <v>94</v>
      </c>
      <c r="B44" s="40"/>
      <c r="C44" s="41"/>
      <c r="D44" s="41"/>
      <c r="E44" s="41"/>
      <c r="F44" s="41"/>
      <c r="G44" s="41">
        <v>252</v>
      </c>
      <c r="H44" s="41"/>
      <c r="I44" s="41"/>
      <c r="J44" s="41">
        <v>294.89999999999998</v>
      </c>
      <c r="K44" s="41"/>
      <c r="L44" s="42">
        <v>546.9</v>
      </c>
    </row>
    <row r="45" spans="1:12" ht="12.75">
      <c r="A45" s="39" t="s">
        <v>95</v>
      </c>
      <c r="B45" s="40"/>
      <c r="C45" s="41"/>
      <c r="D45" s="41"/>
      <c r="E45" s="41">
        <v>280</v>
      </c>
      <c r="F45" s="41">
        <v>265</v>
      </c>
      <c r="G45" s="41"/>
      <c r="H45" s="41"/>
      <c r="I45" s="41"/>
      <c r="J45" s="41"/>
      <c r="K45" s="41"/>
      <c r="L45" s="42">
        <v>545</v>
      </c>
    </row>
    <row r="46" spans="1:12" ht="12.75">
      <c r="A46" s="39" t="s">
        <v>96</v>
      </c>
      <c r="B46" s="40"/>
      <c r="C46" s="41"/>
      <c r="D46" s="41"/>
      <c r="E46" s="41"/>
      <c r="F46" s="41"/>
      <c r="G46" s="41"/>
      <c r="H46" s="41"/>
      <c r="I46" s="41">
        <v>543</v>
      </c>
      <c r="J46" s="41"/>
      <c r="K46" s="41"/>
      <c r="L46" s="42">
        <v>543</v>
      </c>
    </row>
    <row r="47" spans="1:12" ht="12.75">
      <c r="A47" s="39" t="s">
        <v>97</v>
      </c>
      <c r="B47" s="40"/>
      <c r="C47" s="41">
        <v>141</v>
      </c>
      <c r="D47" s="41">
        <v>397</v>
      </c>
      <c r="E47" s="41"/>
      <c r="F47" s="41"/>
      <c r="G47" s="41"/>
      <c r="H47" s="41"/>
      <c r="I47" s="41"/>
      <c r="J47" s="41"/>
      <c r="K47" s="41"/>
      <c r="L47" s="42">
        <v>538</v>
      </c>
    </row>
    <row r="48" spans="1:12" ht="12.75">
      <c r="A48" s="39" t="s">
        <v>98</v>
      </c>
      <c r="B48" s="40">
        <v>269</v>
      </c>
      <c r="C48" s="41"/>
      <c r="D48" s="41"/>
      <c r="E48" s="41"/>
      <c r="F48" s="41">
        <v>269</v>
      </c>
      <c r="G48" s="41"/>
      <c r="H48" s="41"/>
      <c r="I48" s="41"/>
      <c r="J48" s="41"/>
      <c r="K48" s="41"/>
      <c r="L48" s="42">
        <v>538</v>
      </c>
    </row>
    <row r="49" spans="1:12" ht="12.75">
      <c r="A49" s="39" t="s">
        <v>99</v>
      </c>
      <c r="B49" s="40"/>
      <c r="C49" s="41">
        <v>141</v>
      </c>
      <c r="D49" s="41"/>
      <c r="E49" s="41"/>
      <c r="F49" s="41"/>
      <c r="G49" s="41"/>
      <c r="H49" s="41"/>
      <c r="I49" s="41">
        <v>396</v>
      </c>
      <c r="J49" s="41"/>
      <c r="K49" s="41"/>
      <c r="L49" s="42">
        <v>537</v>
      </c>
    </row>
    <row r="50" spans="1:12" ht="12.75">
      <c r="A50" s="39" t="s">
        <v>100</v>
      </c>
      <c r="B50" s="40">
        <v>273</v>
      </c>
      <c r="C50" s="41"/>
      <c r="D50" s="41"/>
      <c r="E50" s="41"/>
      <c r="F50" s="41">
        <v>254</v>
      </c>
      <c r="G50" s="41"/>
      <c r="H50" s="41"/>
      <c r="I50" s="41"/>
      <c r="J50" s="41"/>
      <c r="K50" s="41"/>
      <c r="L50" s="42">
        <v>527</v>
      </c>
    </row>
    <row r="51" spans="1:12" ht="12.75">
      <c r="A51" s="39" t="s">
        <v>101</v>
      </c>
      <c r="B51" s="40"/>
      <c r="C51" s="41"/>
      <c r="D51" s="41"/>
      <c r="E51" s="41"/>
      <c r="F51" s="41">
        <v>259</v>
      </c>
      <c r="G51" s="41"/>
      <c r="H51" s="41">
        <v>267</v>
      </c>
      <c r="I51" s="41"/>
      <c r="J51" s="41"/>
      <c r="K51" s="41"/>
      <c r="L51" s="42">
        <v>526</v>
      </c>
    </row>
    <row r="52" spans="1:12" ht="12.75">
      <c r="A52" s="39" t="s">
        <v>102</v>
      </c>
      <c r="B52" s="40"/>
      <c r="C52" s="41"/>
      <c r="D52" s="41">
        <v>276</v>
      </c>
      <c r="E52" s="41"/>
      <c r="F52" s="41">
        <v>249</v>
      </c>
      <c r="G52" s="41"/>
      <c r="H52" s="41"/>
      <c r="I52" s="41"/>
      <c r="J52" s="41"/>
      <c r="K52" s="41"/>
      <c r="L52" s="42">
        <v>525</v>
      </c>
    </row>
    <row r="53" spans="1:12" ht="12.75">
      <c r="A53" s="39" t="s">
        <v>103</v>
      </c>
      <c r="B53" s="40"/>
      <c r="C53" s="41"/>
      <c r="D53" s="41"/>
      <c r="E53" s="41"/>
      <c r="F53" s="41">
        <v>274</v>
      </c>
      <c r="G53" s="41">
        <v>247</v>
      </c>
      <c r="H53" s="41"/>
      <c r="I53" s="41"/>
      <c r="J53" s="41"/>
      <c r="K53" s="41"/>
      <c r="L53" s="42">
        <v>521</v>
      </c>
    </row>
    <row r="54" spans="1:12" ht="12.75">
      <c r="A54" s="39" t="s">
        <v>104</v>
      </c>
      <c r="B54" s="40">
        <v>240</v>
      </c>
      <c r="C54" s="41">
        <v>123</v>
      </c>
      <c r="D54" s="41"/>
      <c r="E54" s="41"/>
      <c r="F54" s="41"/>
      <c r="G54" s="41"/>
      <c r="H54" s="41"/>
      <c r="I54" s="41"/>
      <c r="J54" s="41"/>
      <c r="K54" s="41">
        <v>157</v>
      </c>
      <c r="L54" s="42">
        <v>520</v>
      </c>
    </row>
    <row r="55" spans="1:12" ht="12.75">
      <c r="A55" s="39" t="s">
        <v>105</v>
      </c>
      <c r="B55" s="40">
        <v>278</v>
      </c>
      <c r="C55" s="41"/>
      <c r="D55" s="41"/>
      <c r="E55" s="41"/>
      <c r="F55" s="41"/>
      <c r="G55" s="41">
        <v>235</v>
      </c>
      <c r="H55" s="41"/>
      <c r="I55" s="41"/>
      <c r="J55" s="41"/>
      <c r="K55" s="41"/>
      <c r="L55" s="42">
        <v>513</v>
      </c>
    </row>
    <row r="56" spans="1:12" ht="12.75">
      <c r="A56" s="39" t="s">
        <v>106</v>
      </c>
      <c r="B56" s="40">
        <v>270</v>
      </c>
      <c r="C56" s="41"/>
      <c r="D56" s="41"/>
      <c r="E56" s="41"/>
      <c r="F56" s="41"/>
      <c r="G56" s="41">
        <v>242</v>
      </c>
      <c r="H56" s="41"/>
      <c r="I56" s="41"/>
      <c r="J56" s="41"/>
      <c r="K56" s="41"/>
      <c r="L56" s="42">
        <v>512</v>
      </c>
    </row>
    <row r="57" spans="1:12" ht="12.75">
      <c r="A57" s="39" t="s">
        <v>107</v>
      </c>
      <c r="B57" s="40">
        <v>274</v>
      </c>
      <c r="C57" s="41"/>
      <c r="D57" s="41"/>
      <c r="E57" s="41"/>
      <c r="F57" s="41"/>
      <c r="G57" s="41">
        <v>235</v>
      </c>
      <c r="H57" s="41"/>
      <c r="I57" s="41"/>
      <c r="J57" s="41"/>
      <c r="K57" s="41"/>
      <c r="L57" s="42">
        <v>509</v>
      </c>
    </row>
    <row r="58" spans="1:12" ht="12.75">
      <c r="A58" s="39" t="s">
        <v>108</v>
      </c>
      <c r="B58" s="40">
        <v>259</v>
      </c>
      <c r="C58" s="41"/>
      <c r="D58" s="41"/>
      <c r="E58" s="41"/>
      <c r="F58" s="41"/>
      <c r="G58" s="41"/>
      <c r="H58" s="41">
        <v>248</v>
      </c>
      <c r="I58" s="41"/>
      <c r="J58" s="41"/>
      <c r="K58" s="41"/>
      <c r="L58" s="42">
        <v>507</v>
      </c>
    </row>
    <row r="59" spans="1:12" ht="12.75">
      <c r="A59" s="39" t="s">
        <v>110</v>
      </c>
      <c r="B59" s="40"/>
      <c r="C59" s="41"/>
      <c r="D59" s="41"/>
      <c r="E59" s="41"/>
      <c r="F59" s="41"/>
      <c r="G59" s="41">
        <v>212</v>
      </c>
      <c r="H59" s="41">
        <v>290</v>
      </c>
      <c r="I59" s="41"/>
      <c r="J59" s="41"/>
      <c r="K59" s="41"/>
      <c r="L59" s="42">
        <v>502</v>
      </c>
    </row>
    <row r="60" spans="1:12" ht="12.75">
      <c r="A60" s="39" t="s">
        <v>109</v>
      </c>
      <c r="B60" s="40"/>
      <c r="C60" s="41"/>
      <c r="D60" s="41"/>
      <c r="E60" s="41">
        <v>251</v>
      </c>
      <c r="F60" s="41">
        <v>251</v>
      </c>
      <c r="G60" s="41"/>
      <c r="H60" s="41"/>
      <c r="I60" s="41"/>
      <c r="J60" s="41"/>
      <c r="K60" s="41"/>
      <c r="L60" s="42">
        <v>502</v>
      </c>
    </row>
    <row r="61" spans="1:12" ht="12.75">
      <c r="A61" s="39" t="s">
        <v>111</v>
      </c>
      <c r="B61" s="40"/>
      <c r="C61" s="41"/>
      <c r="D61" s="41"/>
      <c r="E61" s="41"/>
      <c r="F61" s="41">
        <v>261</v>
      </c>
      <c r="G61" s="41"/>
      <c r="H61" s="41">
        <v>241</v>
      </c>
      <c r="I61" s="41"/>
      <c r="J61" s="41"/>
      <c r="K61" s="41"/>
      <c r="L61" s="42">
        <v>502</v>
      </c>
    </row>
    <row r="62" spans="1:12" ht="12.75">
      <c r="A62" s="39" t="s">
        <v>112</v>
      </c>
      <c r="B62" s="40">
        <v>272</v>
      </c>
      <c r="C62" s="41"/>
      <c r="D62" s="41"/>
      <c r="E62" s="41"/>
      <c r="F62" s="41"/>
      <c r="G62" s="41">
        <v>228</v>
      </c>
      <c r="H62" s="41"/>
      <c r="I62" s="41"/>
      <c r="J62" s="41"/>
      <c r="K62" s="41"/>
      <c r="L62" s="42">
        <v>500</v>
      </c>
    </row>
    <row r="63" spans="1:12" ht="12.75">
      <c r="A63" s="39" t="s">
        <v>113</v>
      </c>
      <c r="B63" s="40">
        <v>256</v>
      </c>
      <c r="C63" s="41"/>
      <c r="D63" s="41"/>
      <c r="E63" s="41"/>
      <c r="F63" s="41"/>
      <c r="G63" s="41">
        <v>235</v>
      </c>
      <c r="H63" s="41"/>
      <c r="I63" s="41"/>
      <c r="J63" s="41"/>
      <c r="K63" s="41"/>
      <c r="L63" s="42">
        <v>491</v>
      </c>
    </row>
    <row r="64" spans="1:12" ht="12.75">
      <c r="A64" s="39" t="s">
        <v>114</v>
      </c>
      <c r="B64" s="40"/>
      <c r="C64" s="41"/>
      <c r="D64" s="41">
        <v>489</v>
      </c>
      <c r="E64" s="41"/>
      <c r="F64" s="41"/>
      <c r="G64" s="41"/>
      <c r="H64" s="41"/>
      <c r="I64" s="41"/>
      <c r="J64" s="41"/>
      <c r="K64" s="41"/>
      <c r="L64" s="42">
        <v>489</v>
      </c>
    </row>
    <row r="65" spans="1:12" ht="12.75">
      <c r="A65" s="39" t="s">
        <v>115</v>
      </c>
      <c r="B65" s="40"/>
      <c r="C65" s="41"/>
      <c r="D65" s="41"/>
      <c r="E65" s="41"/>
      <c r="F65" s="41">
        <v>264</v>
      </c>
      <c r="G65" s="41">
        <v>223</v>
      </c>
      <c r="H65" s="41"/>
      <c r="I65" s="41"/>
      <c r="J65" s="41"/>
      <c r="K65" s="41"/>
      <c r="L65" s="42">
        <v>487</v>
      </c>
    </row>
    <row r="66" spans="1:12" ht="12.75">
      <c r="A66" s="39" t="s">
        <v>116</v>
      </c>
      <c r="B66" s="40">
        <v>270</v>
      </c>
      <c r="C66" s="41"/>
      <c r="D66" s="41"/>
      <c r="E66" s="41"/>
      <c r="F66" s="41"/>
      <c r="G66" s="41">
        <v>211</v>
      </c>
      <c r="H66" s="41"/>
      <c r="I66" s="41"/>
      <c r="J66" s="41"/>
      <c r="K66" s="41"/>
      <c r="L66" s="42">
        <v>481</v>
      </c>
    </row>
    <row r="67" spans="1:12" ht="12.75">
      <c r="A67" s="39" t="s">
        <v>117</v>
      </c>
      <c r="B67" s="40">
        <v>241</v>
      </c>
      <c r="C67" s="41">
        <v>130</v>
      </c>
      <c r="D67" s="41"/>
      <c r="E67" s="41"/>
      <c r="F67" s="41"/>
      <c r="G67" s="41"/>
      <c r="H67" s="41"/>
      <c r="I67" s="41"/>
      <c r="J67" s="41"/>
      <c r="K67" s="41">
        <v>103</v>
      </c>
      <c r="L67" s="42">
        <v>474</v>
      </c>
    </row>
    <row r="68" spans="1:12" ht="12.75">
      <c r="A68" s="39" t="s">
        <v>118</v>
      </c>
      <c r="B68" s="40"/>
      <c r="C68" s="41"/>
      <c r="D68" s="41">
        <v>469</v>
      </c>
      <c r="E68" s="41"/>
      <c r="F68" s="41"/>
      <c r="G68" s="41"/>
      <c r="H68" s="41"/>
      <c r="I68" s="41"/>
      <c r="J68" s="41"/>
      <c r="K68" s="41"/>
      <c r="L68" s="42">
        <v>469</v>
      </c>
    </row>
    <row r="69" spans="1:12" ht="12.75">
      <c r="A69" s="39" t="s">
        <v>119</v>
      </c>
      <c r="B69" s="40">
        <v>269</v>
      </c>
      <c r="C69" s="41"/>
      <c r="D69" s="41"/>
      <c r="E69" s="41"/>
      <c r="F69" s="41"/>
      <c r="G69" s="41">
        <v>192</v>
      </c>
      <c r="H69" s="41"/>
      <c r="I69" s="41"/>
      <c r="J69" s="41"/>
      <c r="K69" s="41"/>
      <c r="L69" s="42">
        <v>461</v>
      </c>
    </row>
    <row r="70" spans="1:12" ht="12.75">
      <c r="A70" s="39" t="s">
        <v>120</v>
      </c>
      <c r="B70" s="40"/>
      <c r="C70" s="41"/>
      <c r="D70" s="41"/>
      <c r="E70" s="41"/>
      <c r="F70" s="41"/>
      <c r="G70" s="41">
        <v>238</v>
      </c>
      <c r="H70" s="41">
        <v>221</v>
      </c>
      <c r="I70" s="41"/>
      <c r="J70" s="41"/>
      <c r="K70" s="41"/>
      <c r="L70" s="42">
        <v>459</v>
      </c>
    </row>
    <row r="71" spans="1:12" ht="12.75">
      <c r="A71" s="39" t="s">
        <v>121</v>
      </c>
      <c r="B71" s="40">
        <v>279</v>
      </c>
      <c r="C71" s="41"/>
      <c r="D71" s="41"/>
      <c r="E71" s="41"/>
      <c r="F71" s="41"/>
      <c r="G71" s="41"/>
      <c r="H71" s="41"/>
      <c r="I71" s="41"/>
      <c r="J71" s="41"/>
      <c r="K71" s="41">
        <v>179</v>
      </c>
      <c r="L71" s="42">
        <v>458</v>
      </c>
    </row>
    <row r="72" spans="1:12" ht="12.75">
      <c r="A72" s="39" t="s">
        <v>122</v>
      </c>
      <c r="B72" s="40">
        <v>260</v>
      </c>
      <c r="C72" s="41"/>
      <c r="D72" s="41"/>
      <c r="E72" s="41"/>
      <c r="F72" s="41"/>
      <c r="G72" s="41">
        <v>197</v>
      </c>
      <c r="H72" s="41"/>
      <c r="I72" s="41"/>
      <c r="J72" s="41"/>
      <c r="K72" s="41"/>
      <c r="L72" s="42">
        <v>457</v>
      </c>
    </row>
    <row r="73" spans="1:12" ht="12.75">
      <c r="A73" s="39" t="s">
        <v>123</v>
      </c>
      <c r="B73" s="40">
        <v>233</v>
      </c>
      <c r="C73" s="41"/>
      <c r="D73" s="41"/>
      <c r="E73" s="41">
        <v>223</v>
      </c>
      <c r="F73" s="41"/>
      <c r="G73" s="41"/>
      <c r="H73" s="41"/>
      <c r="I73" s="41"/>
      <c r="J73" s="41"/>
      <c r="K73" s="41"/>
      <c r="L73" s="42">
        <v>456</v>
      </c>
    </row>
    <row r="74" spans="1:12" ht="12.75">
      <c r="A74" s="39" t="s">
        <v>124</v>
      </c>
      <c r="B74" s="40">
        <v>231</v>
      </c>
      <c r="C74" s="41"/>
      <c r="D74" s="41"/>
      <c r="E74" s="41"/>
      <c r="F74" s="41"/>
      <c r="G74" s="41">
        <v>222</v>
      </c>
      <c r="H74" s="41"/>
      <c r="I74" s="41"/>
      <c r="J74" s="41"/>
      <c r="K74" s="41"/>
      <c r="L74" s="42">
        <v>453</v>
      </c>
    </row>
    <row r="75" spans="1:12" ht="12.75">
      <c r="A75" s="39" t="s">
        <v>125</v>
      </c>
      <c r="B75" s="40">
        <v>252</v>
      </c>
      <c r="C75" s="41"/>
      <c r="D75" s="41"/>
      <c r="E75" s="41"/>
      <c r="F75" s="41"/>
      <c r="G75" s="41">
        <v>195</v>
      </c>
      <c r="H75" s="41"/>
      <c r="I75" s="41"/>
      <c r="J75" s="41"/>
      <c r="K75" s="41"/>
      <c r="L75" s="42">
        <v>447</v>
      </c>
    </row>
    <row r="76" spans="1:12" ht="12.75">
      <c r="A76" s="39" t="s">
        <v>126</v>
      </c>
      <c r="B76" s="40"/>
      <c r="C76" s="41"/>
      <c r="D76" s="41"/>
      <c r="E76" s="41"/>
      <c r="F76" s="41">
        <v>224</v>
      </c>
      <c r="G76" s="41">
        <v>218</v>
      </c>
      <c r="H76" s="41"/>
      <c r="I76" s="41"/>
      <c r="J76" s="41"/>
      <c r="K76" s="41"/>
      <c r="L76" s="42">
        <v>442</v>
      </c>
    </row>
    <row r="77" spans="1:12" ht="12.75">
      <c r="A77" s="39" t="s">
        <v>127</v>
      </c>
      <c r="B77" s="40"/>
      <c r="C77" s="41">
        <v>146</v>
      </c>
      <c r="D77" s="41"/>
      <c r="E77" s="41"/>
      <c r="F77" s="41"/>
      <c r="G77" s="41"/>
      <c r="H77" s="41">
        <v>295</v>
      </c>
      <c r="I77" s="41"/>
      <c r="J77" s="41"/>
      <c r="K77" s="41"/>
      <c r="L77" s="42">
        <v>441</v>
      </c>
    </row>
    <row r="78" spans="1:12" ht="12.75">
      <c r="A78" s="39" t="s">
        <v>128</v>
      </c>
      <c r="B78" s="40">
        <v>269</v>
      </c>
      <c r="C78" s="41"/>
      <c r="D78" s="41"/>
      <c r="E78" s="41"/>
      <c r="F78" s="41"/>
      <c r="G78" s="41"/>
      <c r="H78" s="41"/>
      <c r="I78" s="41"/>
      <c r="J78" s="41"/>
      <c r="K78" s="41">
        <v>170</v>
      </c>
      <c r="L78" s="42">
        <v>439</v>
      </c>
    </row>
    <row r="79" spans="1:12" ht="12.75">
      <c r="A79" s="39" t="s">
        <v>129</v>
      </c>
      <c r="B79" s="40">
        <v>270</v>
      </c>
      <c r="C79" s="41"/>
      <c r="D79" s="41"/>
      <c r="E79" s="41"/>
      <c r="F79" s="41"/>
      <c r="G79" s="41">
        <v>161</v>
      </c>
      <c r="H79" s="41"/>
      <c r="I79" s="41"/>
      <c r="J79" s="41"/>
      <c r="K79" s="41"/>
      <c r="L79" s="42">
        <v>431</v>
      </c>
    </row>
    <row r="80" spans="1:12" ht="12.75">
      <c r="A80" s="39" t="s">
        <v>130</v>
      </c>
      <c r="B80" s="40">
        <v>248</v>
      </c>
      <c r="C80" s="41"/>
      <c r="D80" s="41"/>
      <c r="E80" s="41"/>
      <c r="F80" s="41"/>
      <c r="G80" s="41">
        <v>180</v>
      </c>
      <c r="H80" s="41"/>
      <c r="I80" s="41"/>
      <c r="J80" s="41"/>
      <c r="K80" s="41"/>
      <c r="L80" s="42">
        <v>428</v>
      </c>
    </row>
    <row r="81" spans="1:12" ht="12.75">
      <c r="A81" s="39" t="s">
        <v>131</v>
      </c>
      <c r="B81" s="40">
        <v>235</v>
      </c>
      <c r="C81" s="41"/>
      <c r="D81" s="41"/>
      <c r="E81" s="41"/>
      <c r="F81" s="41"/>
      <c r="G81" s="41">
        <v>190</v>
      </c>
      <c r="H81" s="41"/>
      <c r="I81" s="41"/>
      <c r="J81" s="41"/>
      <c r="K81" s="41"/>
      <c r="L81" s="42">
        <v>425</v>
      </c>
    </row>
    <row r="82" spans="1:12" ht="12.75">
      <c r="A82" s="39" t="s">
        <v>132</v>
      </c>
      <c r="B82" s="40"/>
      <c r="C82" s="41">
        <v>169</v>
      </c>
      <c r="D82" s="41"/>
      <c r="E82" s="41"/>
      <c r="F82" s="41"/>
      <c r="G82" s="41">
        <v>241</v>
      </c>
      <c r="H82" s="41"/>
      <c r="I82" s="41"/>
      <c r="J82" s="41"/>
      <c r="K82" s="41"/>
      <c r="L82" s="42">
        <v>410</v>
      </c>
    </row>
    <row r="83" spans="1:12" ht="12.75">
      <c r="A83" s="39" t="s">
        <v>133</v>
      </c>
      <c r="B83" s="40"/>
      <c r="C83" s="41"/>
      <c r="D83" s="41">
        <v>402</v>
      </c>
      <c r="E83" s="41"/>
      <c r="F83" s="41"/>
      <c r="G83" s="41"/>
      <c r="H83" s="41"/>
      <c r="I83" s="41"/>
      <c r="J83" s="41"/>
      <c r="K83" s="41"/>
      <c r="L83" s="42">
        <v>402</v>
      </c>
    </row>
    <row r="84" spans="1:12" ht="12.75">
      <c r="A84" s="39" t="s">
        <v>134</v>
      </c>
      <c r="B84" s="40">
        <v>266</v>
      </c>
      <c r="C84" s="41"/>
      <c r="D84" s="41"/>
      <c r="E84" s="41"/>
      <c r="F84" s="41"/>
      <c r="G84" s="41"/>
      <c r="H84" s="41"/>
      <c r="I84" s="41"/>
      <c r="J84" s="41"/>
      <c r="K84" s="41">
        <v>129</v>
      </c>
      <c r="L84" s="42">
        <v>395</v>
      </c>
    </row>
    <row r="85" spans="1:12" ht="12.75">
      <c r="A85" s="39" t="s">
        <v>135</v>
      </c>
      <c r="B85" s="40">
        <v>219</v>
      </c>
      <c r="C85" s="41"/>
      <c r="D85" s="41"/>
      <c r="E85" s="41">
        <v>174</v>
      </c>
      <c r="F85" s="41"/>
      <c r="G85" s="41"/>
      <c r="H85" s="41"/>
      <c r="I85" s="41"/>
      <c r="J85" s="41"/>
      <c r="K85" s="41"/>
      <c r="L85" s="42">
        <v>393</v>
      </c>
    </row>
    <row r="86" spans="1:12" ht="12.75">
      <c r="A86" s="39" t="s">
        <v>136</v>
      </c>
      <c r="B86" s="40"/>
      <c r="C86" s="41"/>
      <c r="D86" s="41"/>
      <c r="E86" s="41"/>
      <c r="F86" s="41"/>
      <c r="G86" s="41">
        <v>211</v>
      </c>
      <c r="H86" s="41"/>
      <c r="I86" s="41"/>
      <c r="J86" s="41"/>
      <c r="K86" s="41">
        <v>161</v>
      </c>
      <c r="L86" s="42">
        <v>372</v>
      </c>
    </row>
    <row r="87" spans="1:12" ht="12.75">
      <c r="A87" s="39" t="s">
        <v>137</v>
      </c>
      <c r="B87" s="40"/>
      <c r="C87" s="41">
        <v>135</v>
      </c>
      <c r="D87" s="41"/>
      <c r="E87" s="41"/>
      <c r="F87" s="41"/>
      <c r="G87" s="41">
        <v>221</v>
      </c>
      <c r="H87" s="41"/>
      <c r="I87" s="41"/>
      <c r="J87" s="41"/>
      <c r="K87" s="41"/>
      <c r="L87" s="42">
        <v>356</v>
      </c>
    </row>
    <row r="88" spans="1:12" ht="12.75">
      <c r="A88" s="39" t="s">
        <v>138</v>
      </c>
      <c r="B88" s="40"/>
      <c r="C88" s="41"/>
      <c r="D88" s="41"/>
      <c r="E88" s="41"/>
      <c r="F88" s="41"/>
      <c r="G88" s="41">
        <v>218</v>
      </c>
      <c r="H88" s="41"/>
      <c r="I88" s="41"/>
      <c r="J88" s="41"/>
      <c r="K88" s="41">
        <v>133</v>
      </c>
      <c r="L88" s="42">
        <v>351</v>
      </c>
    </row>
    <row r="89" spans="1:12" ht="12.75">
      <c r="A89" s="39" t="s">
        <v>140</v>
      </c>
      <c r="B89" s="40">
        <v>219</v>
      </c>
      <c r="C89" s="41">
        <v>127</v>
      </c>
      <c r="D89" s="41"/>
      <c r="E89" s="41"/>
      <c r="F89" s="41"/>
      <c r="G89" s="41"/>
      <c r="H89" s="41"/>
      <c r="I89" s="41"/>
      <c r="J89" s="41"/>
      <c r="K89" s="41"/>
      <c r="L89" s="42">
        <v>346</v>
      </c>
    </row>
    <row r="90" spans="1:12" ht="12.75">
      <c r="A90" s="39" t="s">
        <v>139</v>
      </c>
      <c r="B90" s="40">
        <v>193</v>
      </c>
      <c r="C90" s="41"/>
      <c r="D90" s="41"/>
      <c r="E90" s="41"/>
      <c r="F90" s="41"/>
      <c r="G90" s="41">
        <v>153</v>
      </c>
      <c r="H90" s="41"/>
      <c r="I90" s="41"/>
      <c r="J90" s="41"/>
      <c r="K90" s="41"/>
      <c r="L90" s="42">
        <v>346</v>
      </c>
    </row>
    <row r="91" spans="1:12" ht="12.75">
      <c r="A91" s="39" t="s">
        <v>141</v>
      </c>
      <c r="B91" s="40">
        <v>220</v>
      </c>
      <c r="C91" s="41">
        <v>121</v>
      </c>
      <c r="D91" s="41"/>
      <c r="E91" s="41"/>
      <c r="F91" s="41"/>
      <c r="G91" s="41"/>
      <c r="H91" s="41"/>
      <c r="I91" s="41"/>
      <c r="J91" s="41"/>
      <c r="K91" s="41"/>
      <c r="L91" s="42">
        <v>341</v>
      </c>
    </row>
    <row r="92" spans="1:12" ht="12.75">
      <c r="A92" s="39" t="s">
        <v>142</v>
      </c>
      <c r="B92" s="40"/>
      <c r="C92" s="41">
        <v>141</v>
      </c>
      <c r="D92" s="41"/>
      <c r="E92" s="41"/>
      <c r="F92" s="41"/>
      <c r="G92" s="41">
        <v>194</v>
      </c>
      <c r="H92" s="41"/>
      <c r="I92" s="41"/>
      <c r="J92" s="41"/>
      <c r="K92" s="41"/>
      <c r="L92" s="42">
        <v>335</v>
      </c>
    </row>
    <row r="93" spans="1:12" ht="12.75">
      <c r="A93" s="39" t="s">
        <v>143</v>
      </c>
      <c r="B93" s="40"/>
      <c r="C93" s="41"/>
      <c r="D93" s="41"/>
      <c r="E93" s="41"/>
      <c r="F93" s="41"/>
      <c r="G93" s="41"/>
      <c r="H93" s="41"/>
      <c r="I93" s="41"/>
      <c r="J93" s="41">
        <v>310</v>
      </c>
      <c r="K93" s="41"/>
      <c r="L93" s="42">
        <v>310</v>
      </c>
    </row>
    <row r="94" spans="1:12" ht="12.75">
      <c r="A94" s="39" t="s">
        <v>144</v>
      </c>
      <c r="B94" s="40"/>
      <c r="C94" s="41"/>
      <c r="D94" s="41"/>
      <c r="E94" s="41"/>
      <c r="F94" s="41"/>
      <c r="G94" s="41"/>
      <c r="H94" s="41"/>
      <c r="I94" s="41"/>
      <c r="J94" s="41">
        <v>307.29999999999995</v>
      </c>
      <c r="K94" s="41"/>
      <c r="L94" s="42">
        <v>307.29999999999995</v>
      </c>
    </row>
    <row r="95" spans="1:12" ht="12.75">
      <c r="A95" s="39" t="s">
        <v>145</v>
      </c>
      <c r="B95" s="40"/>
      <c r="C95" s="41">
        <v>143</v>
      </c>
      <c r="D95" s="41"/>
      <c r="E95" s="41"/>
      <c r="F95" s="41"/>
      <c r="G95" s="41"/>
      <c r="H95" s="41"/>
      <c r="I95" s="41"/>
      <c r="J95" s="41"/>
      <c r="K95" s="41">
        <v>162</v>
      </c>
      <c r="L95" s="42">
        <v>305</v>
      </c>
    </row>
    <row r="96" spans="1:12" ht="12.75">
      <c r="A96" s="39" t="s">
        <v>146</v>
      </c>
      <c r="B96" s="40"/>
      <c r="C96" s="41"/>
      <c r="D96" s="41"/>
      <c r="E96" s="41"/>
      <c r="F96" s="41"/>
      <c r="G96" s="41"/>
      <c r="H96" s="41"/>
      <c r="I96" s="41"/>
      <c r="J96" s="41">
        <v>304.2</v>
      </c>
      <c r="K96" s="41"/>
      <c r="L96" s="42">
        <v>304.2</v>
      </c>
    </row>
    <row r="97" spans="1:12" ht="12.75">
      <c r="A97" s="39" t="s">
        <v>147</v>
      </c>
      <c r="B97" s="40"/>
      <c r="C97" s="41"/>
      <c r="D97" s="41"/>
      <c r="E97" s="41"/>
      <c r="F97" s="41"/>
      <c r="G97" s="41"/>
      <c r="H97" s="41">
        <v>297</v>
      </c>
      <c r="I97" s="41"/>
      <c r="J97" s="41"/>
      <c r="K97" s="41"/>
      <c r="L97" s="42">
        <v>297</v>
      </c>
    </row>
    <row r="98" spans="1:12" ht="12.75">
      <c r="A98" s="39" t="s">
        <v>148</v>
      </c>
      <c r="B98" s="40"/>
      <c r="C98" s="41"/>
      <c r="D98" s="41"/>
      <c r="E98" s="41"/>
      <c r="F98" s="41"/>
      <c r="G98" s="41"/>
      <c r="H98" s="41"/>
      <c r="I98" s="41"/>
      <c r="J98" s="41">
        <v>295.39999999999998</v>
      </c>
      <c r="K98" s="41"/>
      <c r="L98" s="42">
        <v>295.39999999999998</v>
      </c>
    </row>
    <row r="99" spans="1:12" ht="12.75">
      <c r="A99" s="39" t="s">
        <v>150</v>
      </c>
      <c r="B99" s="40"/>
      <c r="C99" s="41"/>
      <c r="D99" s="41"/>
      <c r="E99" s="41"/>
      <c r="F99" s="41"/>
      <c r="G99" s="41"/>
      <c r="H99" s="41">
        <v>293</v>
      </c>
      <c r="I99" s="41"/>
      <c r="J99" s="41"/>
      <c r="K99" s="41"/>
      <c r="L99" s="42">
        <v>293</v>
      </c>
    </row>
    <row r="100" spans="1:12" ht="12.75">
      <c r="A100" s="39" t="s">
        <v>149</v>
      </c>
      <c r="B100" s="40"/>
      <c r="C100" s="41"/>
      <c r="D100" s="41"/>
      <c r="E100" s="41"/>
      <c r="F100" s="41"/>
      <c r="G100" s="41"/>
      <c r="H100" s="41">
        <v>293</v>
      </c>
      <c r="I100" s="41"/>
      <c r="J100" s="41"/>
      <c r="K100" s="41"/>
      <c r="L100" s="42">
        <v>293</v>
      </c>
    </row>
    <row r="101" spans="1:12" ht="12.75">
      <c r="A101" s="39" t="s">
        <v>151</v>
      </c>
      <c r="B101" s="40"/>
      <c r="C101" s="41"/>
      <c r="D101" s="41"/>
      <c r="E101" s="41">
        <v>287</v>
      </c>
      <c r="F101" s="41"/>
      <c r="G101" s="41"/>
      <c r="H101" s="41"/>
      <c r="I101" s="41"/>
      <c r="J101" s="41"/>
      <c r="K101" s="41"/>
      <c r="L101" s="42">
        <v>287</v>
      </c>
    </row>
    <row r="102" spans="1:12" ht="12.75">
      <c r="A102" s="39" t="s">
        <v>152</v>
      </c>
      <c r="B102" s="40"/>
      <c r="C102" s="41"/>
      <c r="D102" s="41"/>
      <c r="E102" s="41"/>
      <c r="F102" s="41"/>
      <c r="G102" s="41"/>
      <c r="H102" s="41"/>
      <c r="I102" s="41"/>
      <c r="J102" s="41">
        <v>285.29999999999995</v>
      </c>
      <c r="K102" s="41"/>
      <c r="L102" s="42">
        <v>285.29999999999995</v>
      </c>
    </row>
    <row r="103" spans="1:12" ht="12.75">
      <c r="A103" s="39" t="s">
        <v>153</v>
      </c>
      <c r="B103" s="40">
        <v>276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2">
        <v>276</v>
      </c>
    </row>
    <row r="104" spans="1:12" ht="12.75">
      <c r="A104" s="39" t="s">
        <v>154</v>
      </c>
      <c r="B104" s="40"/>
      <c r="C104" s="41"/>
      <c r="D104" s="41"/>
      <c r="E104" s="41"/>
      <c r="F104" s="41"/>
      <c r="G104" s="41"/>
      <c r="H104" s="41"/>
      <c r="I104" s="41"/>
      <c r="J104" s="41">
        <v>275.60000000000002</v>
      </c>
      <c r="K104" s="41"/>
      <c r="L104" s="42">
        <v>275.60000000000002</v>
      </c>
    </row>
    <row r="105" spans="1:12" ht="12.75">
      <c r="A105" s="39" t="s">
        <v>155</v>
      </c>
      <c r="B105" s="40"/>
      <c r="C105" s="41"/>
      <c r="D105" s="41"/>
      <c r="E105" s="41">
        <v>272</v>
      </c>
      <c r="F105" s="41"/>
      <c r="G105" s="41"/>
      <c r="H105" s="41"/>
      <c r="I105" s="41"/>
      <c r="J105" s="41"/>
      <c r="K105" s="41"/>
      <c r="L105" s="42">
        <v>272</v>
      </c>
    </row>
    <row r="106" spans="1:12" ht="12.75">
      <c r="A106" s="39" t="s">
        <v>156</v>
      </c>
      <c r="B106" s="40">
        <v>270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2">
        <v>270</v>
      </c>
    </row>
    <row r="107" spans="1:12" ht="12.75">
      <c r="A107" s="39" t="s">
        <v>157</v>
      </c>
      <c r="B107" s="40">
        <v>270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2">
        <v>270</v>
      </c>
    </row>
    <row r="108" spans="1:12" ht="12.75">
      <c r="A108" s="39" t="s">
        <v>159</v>
      </c>
      <c r="B108" s="40">
        <v>268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2">
        <v>268</v>
      </c>
    </row>
    <row r="109" spans="1:12" ht="12.75">
      <c r="A109" s="39" t="s">
        <v>158</v>
      </c>
      <c r="B109" s="40">
        <v>268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2">
        <v>268</v>
      </c>
    </row>
    <row r="110" spans="1:12" ht="12.75">
      <c r="A110" s="39" t="s">
        <v>160</v>
      </c>
      <c r="B110" s="40"/>
      <c r="C110" s="41"/>
      <c r="D110" s="41"/>
      <c r="E110" s="41"/>
      <c r="F110" s="41"/>
      <c r="G110" s="41"/>
      <c r="H110" s="41">
        <v>267</v>
      </c>
      <c r="I110" s="41"/>
      <c r="J110" s="41"/>
      <c r="K110" s="41"/>
      <c r="L110" s="42">
        <v>267</v>
      </c>
    </row>
    <row r="111" spans="1:12" ht="12.75">
      <c r="A111" s="39" t="s">
        <v>161</v>
      </c>
      <c r="B111" s="40"/>
      <c r="C111" s="41"/>
      <c r="D111" s="41"/>
      <c r="E111" s="41"/>
      <c r="F111" s="41"/>
      <c r="G111" s="41"/>
      <c r="H111" s="41"/>
      <c r="I111" s="41"/>
      <c r="J111" s="41">
        <v>266.39999999999998</v>
      </c>
      <c r="K111" s="41"/>
      <c r="L111" s="42">
        <v>266.39999999999998</v>
      </c>
    </row>
    <row r="112" spans="1:12" ht="12.75">
      <c r="A112" s="39" t="s">
        <v>162</v>
      </c>
      <c r="B112" s="40"/>
      <c r="C112" s="41"/>
      <c r="D112" s="41"/>
      <c r="E112" s="41"/>
      <c r="F112" s="41">
        <v>265</v>
      </c>
      <c r="G112" s="41"/>
      <c r="H112" s="41"/>
      <c r="I112" s="41"/>
      <c r="J112" s="41"/>
      <c r="K112" s="41"/>
      <c r="L112" s="42">
        <v>265</v>
      </c>
    </row>
    <row r="113" spans="1:12" ht="12.75">
      <c r="A113" s="39" t="s">
        <v>163</v>
      </c>
      <c r="B113" s="40"/>
      <c r="C113" s="41"/>
      <c r="D113" s="41"/>
      <c r="E113" s="41">
        <v>263</v>
      </c>
      <c r="F113" s="41"/>
      <c r="G113" s="41"/>
      <c r="H113" s="41"/>
      <c r="I113" s="41"/>
      <c r="J113" s="41"/>
      <c r="K113" s="41"/>
      <c r="L113" s="42">
        <v>263</v>
      </c>
    </row>
    <row r="114" spans="1:12" ht="12.75">
      <c r="A114" s="39" t="s">
        <v>164</v>
      </c>
      <c r="B114" s="40"/>
      <c r="C114" s="41"/>
      <c r="D114" s="41"/>
      <c r="E114" s="41"/>
      <c r="F114" s="41"/>
      <c r="G114" s="41"/>
      <c r="H114" s="41"/>
      <c r="I114" s="41"/>
      <c r="J114" s="41">
        <v>261.39999999999998</v>
      </c>
      <c r="K114" s="41"/>
      <c r="L114" s="42">
        <v>261.39999999999998</v>
      </c>
    </row>
    <row r="115" spans="1:12" ht="12.75">
      <c r="A115" s="39" t="s">
        <v>48</v>
      </c>
      <c r="B115" s="40"/>
      <c r="C115" s="41"/>
      <c r="D115" s="41"/>
      <c r="E115" s="41"/>
      <c r="F115" s="41">
        <v>261</v>
      </c>
      <c r="G115" s="41"/>
      <c r="H115" s="41"/>
      <c r="I115" s="41"/>
      <c r="J115" s="41"/>
      <c r="K115" s="41"/>
      <c r="L115" s="42">
        <v>261</v>
      </c>
    </row>
    <row r="116" spans="1:12" ht="12.75">
      <c r="A116" s="39" t="s">
        <v>165</v>
      </c>
      <c r="B116" s="40">
        <v>258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2">
        <v>258</v>
      </c>
    </row>
    <row r="117" spans="1:12" ht="12.75">
      <c r="A117" s="39" t="s">
        <v>166</v>
      </c>
      <c r="B117" s="40">
        <v>257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2">
        <v>257</v>
      </c>
    </row>
    <row r="118" spans="1:12" ht="12.75">
      <c r="A118" s="39" t="s">
        <v>167</v>
      </c>
      <c r="B118" s="40"/>
      <c r="C118" s="41"/>
      <c r="D118" s="41"/>
      <c r="E118" s="41">
        <v>256</v>
      </c>
      <c r="F118" s="41"/>
      <c r="G118" s="41"/>
      <c r="H118" s="41"/>
      <c r="I118" s="41"/>
      <c r="J118" s="41"/>
      <c r="K118" s="41"/>
      <c r="L118" s="42">
        <v>256</v>
      </c>
    </row>
    <row r="119" spans="1:12" ht="12.75">
      <c r="A119" s="39" t="s">
        <v>168</v>
      </c>
      <c r="B119" s="40">
        <v>254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2">
        <v>254</v>
      </c>
    </row>
    <row r="120" spans="1:12" ht="12.75">
      <c r="A120" s="39" t="s">
        <v>170</v>
      </c>
      <c r="B120" s="40"/>
      <c r="C120" s="41"/>
      <c r="D120" s="41"/>
      <c r="E120" s="41"/>
      <c r="F120" s="41">
        <v>251</v>
      </c>
      <c r="G120" s="41"/>
      <c r="H120" s="41"/>
      <c r="I120" s="41"/>
      <c r="J120" s="41"/>
      <c r="K120" s="41"/>
      <c r="L120" s="42">
        <v>251</v>
      </c>
    </row>
    <row r="121" spans="1:12" ht="12.75">
      <c r="A121" s="39" t="s">
        <v>169</v>
      </c>
      <c r="B121" s="40"/>
      <c r="C121" s="41"/>
      <c r="D121" s="41"/>
      <c r="E121" s="41">
        <v>251</v>
      </c>
      <c r="F121" s="41"/>
      <c r="G121" s="41"/>
      <c r="H121" s="41"/>
      <c r="I121" s="41"/>
      <c r="J121" s="41"/>
      <c r="K121" s="41"/>
      <c r="L121" s="42">
        <v>251</v>
      </c>
    </row>
    <row r="122" spans="1:12" ht="12.75">
      <c r="A122" s="39" t="s">
        <v>172</v>
      </c>
      <c r="B122" s="40"/>
      <c r="C122" s="41"/>
      <c r="D122" s="41"/>
      <c r="E122" s="41"/>
      <c r="F122" s="41"/>
      <c r="G122" s="41"/>
      <c r="H122" s="41">
        <v>250</v>
      </c>
      <c r="I122" s="41"/>
      <c r="J122" s="41"/>
      <c r="K122" s="41"/>
      <c r="L122" s="42">
        <v>250</v>
      </c>
    </row>
    <row r="123" spans="1:12" ht="12.75">
      <c r="A123" s="39" t="s">
        <v>171</v>
      </c>
      <c r="B123" s="40"/>
      <c r="C123" s="41"/>
      <c r="D123" s="41"/>
      <c r="E123" s="41">
        <v>250</v>
      </c>
      <c r="F123" s="41"/>
      <c r="G123" s="41"/>
      <c r="H123" s="41"/>
      <c r="I123" s="41"/>
      <c r="J123" s="41"/>
      <c r="K123" s="41"/>
      <c r="L123" s="42">
        <v>250</v>
      </c>
    </row>
    <row r="124" spans="1:12" ht="12.75">
      <c r="A124" s="39" t="s">
        <v>173</v>
      </c>
      <c r="B124" s="40">
        <v>249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2">
        <v>249</v>
      </c>
    </row>
    <row r="125" spans="1:12" ht="12.75">
      <c r="A125" s="39" t="s">
        <v>174</v>
      </c>
      <c r="B125" s="40">
        <v>249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2">
        <v>249</v>
      </c>
    </row>
    <row r="126" spans="1:12" ht="12.75">
      <c r="A126" s="39" t="s">
        <v>175</v>
      </c>
      <c r="B126" s="40"/>
      <c r="C126" s="41"/>
      <c r="D126" s="41"/>
      <c r="E126" s="41"/>
      <c r="F126" s="41">
        <v>248</v>
      </c>
      <c r="G126" s="41"/>
      <c r="H126" s="41"/>
      <c r="I126" s="41"/>
      <c r="J126" s="41"/>
      <c r="K126" s="41"/>
      <c r="L126" s="42">
        <v>248</v>
      </c>
    </row>
    <row r="127" spans="1:12" ht="12.75">
      <c r="A127" s="39" t="s">
        <v>176</v>
      </c>
      <c r="B127" s="40"/>
      <c r="C127" s="41"/>
      <c r="D127" s="41"/>
      <c r="E127" s="41"/>
      <c r="F127" s="41"/>
      <c r="G127" s="41">
        <v>244</v>
      </c>
      <c r="H127" s="41"/>
      <c r="I127" s="41"/>
      <c r="J127" s="41"/>
      <c r="K127" s="41"/>
      <c r="L127" s="42">
        <v>244</v>
      </c>
    </row>
    <row r="128" spans="1:12" ht="12.75">
      <c r="A128" s="39" t="s">
        <v>177</v>
      </c>
      <c r="B128" s="40"/>
      <c r="C128" s="41"/>
      <c r="D128" s="41"/>
      <c r="E128" s="41"/>
      <c r="F128" s="41"/>
      <c r="G128" s="41">
        <v>242</v>
      </c>
      <c r="H128" s="41"/>
      <c r="I128" s="41"/>
      <c r="J128" s="41"/>
      <c r="K128" s="41"/>
      <c r="L128" s="42">
        <v>242</v>
      </c>
    </row>
    <row r="129" spans="1:12" ht="12.75">
      <c r="A129" s="39" t="s">
        <v>178</v>
      </c>
      <c r="B129" s="40"/>
      <c r="C129" s="41"/>
      <c r="D129" s="41"/>
      <c r="E129" s="41"/>
      <c r="F129" s="41">
        <v>241</v>
      </c>
      <c r="G129" s="41"/>
      <c r="H129" s="41"/>
      <c r="I129" s="41"/>
      <c r="J129" s="41"/>
      <c r="K129" s="41"/>
      <c r="L129" s="42">
        <v>241</v>
      </c>
    </row>
    <row r="130" spans="1:12" ht="12.75">
      <c r="A130" s="39" t="s">
        <v>179</v>
      </c>
      <c r="B130" s="40"/>
      <c r="C130" s="41"/>
      <c r="D130" s="41"/>
      <c r="E130" s="41"/>
      <c r="F130" s="41"/>
      <c r="G130" s="41"/>
      <c r="H130" s="41">
        <v>238</v>
      </c>
      <c r="I130" s="41"/>
      <c r="J130" s="41"/>
      <c r="K130" s="41"/>
      <c r="L130" s="42">
        <v>238</v>
      </c>
    </row>
    <row r="131" spans="1:12" ht="12.75">
      <c r="A131" s="39" t="s">
        <v>180</v>
      </c>
      <c r="B131" s="40"/>
      <c r="C131" s="41"/>
      <c r="D131" s="41"/>
      <c r="E131" s="41"/>
      <c r="F131" s="41">
        <v>238</v>
      </c>
      <c r="G131" s="41"/>
      <c r="H131" s="41"/>
      <c r="I131" s="41"/>
      <c r="J131" s="41"/>
      <c r="K131" s="41"/>
      <c r="L131" s="42">
        <v>238</v>
      </c>
    </row>
    <row r="132" spans="1:12" ht="12.75">
      <c r="A132" s="39" t="s">
        <v>181</v>
      </c>
      <c r="B132" s="40">
        <v>237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2">
        <v>237</v>
      </c>
    </row>
    <row r="133" spans="1:12" ht="12.75">
      <c r="A133" s="39" t="s">
        <v>182</v>
      </c>
      <c r="B133" s="40">
        <v>137</v>
      </c>
      <c r="C133" s="41"/>
      <c r="D133" s="41"/>
      <c r="E133" s="41"/>
      <c r="F133" s="41"/>
      <c r="G133" s="41"/>
      <c r="H133" s="41"/>
      <c r="I133" s="41"/>
      <c r="J133" s="41"/>
      <c r="K133" s="41">
        <v>99</v>
      </c>
      <c r="L133" s="42">
        <v>236</v>
      </c>
    </row>
    <row r="134" spans="1:12" ht="12.75">
      <c r="A134" s="39" t="s">
        <v>183</v>
      </c>
      <c r="B134" s="40"/>
      <c r="C134" s="41"/>
      <c r="D134" s="41"/>
      <c r="E134" s="41"/>
      <c r="F134" s="41"/>
      <c r="G134" s="41">
        <v>234</v>
      </c>
      <c r="H134" s="41"/>
      <c r="I134" s="41"/>
      <c r="J134" s="41"/>
      <c r="K134" s="41"/>
      <c r="L134" s="42">
        <v>234</v>
      </c>
    </row>
    <row r="135" spans="1:12" ht="12.75">
      <c r="A135" s="39" t="s">
        <v>184</v>
      </c>
      <c r="B135" s="40"/>
      <c r="C135" s="41"/>
      <c r="D135" s="41"/>
      <c r="E135" s="41"/>
      <c r="F135" s="41">
        <v>232</v>
      </c>
      <c r="G135" s="41"/>
      <c r="H135" s="41"/>
      <c r="I135" s="41"/>
      <c r="J135" s="41"/>
      <c r="K135" s="41"/>
      <c r="L135" s="42">
        <v>232</v>
      </c>
    </row>
    <row r="136" spans="1:12" ht="12.75">
      <c r="A136" s="39" t="s">
        <v>185</v>
      </c>
      <c r="B136" s="40"/>
      <c r="C136" s="41"/>
      <c r="D136" s="41"/>
      <c r="E136" s="41"/>
      <c r="F136" s="41"/>
      <c r="G136" s="41">
        <v>228</v>
      </c>
      <c r="H136" s="41"/>
      <c r="I136" s="41"/>
      <c r="J136" s="41"/>
      <c r="K136" s="41"/>
      <c r="L136" s="42">
        <v>228</v>
      </c>
    </row>
    <row r="137" spans="1:12" ht="12.75">
      <c r="A137" s="39" t="s">
        <v>186</v>
      </c>
      <c r="B137" s="40"/>
      <c r="C137" s="41"/>
      <c r="D137" s="41"/>
      <c r="E137" s="41"/>
      <c r="F137" s="41"/>
      <c r="G137" s="41">
        <v>220</v>
      </c>
      <c r="H137" s="41"/>
      <c r="I137" s="41"/>
      <c r="J137" s="41"/>
      <c r="K137" s="41"/>
      <c r="L137" s="42">
        <v>220</v>
      </c>
    </row>
    <row r="138" spans="1:12" ht="12.75">
      <c r="A138" s="39" t="s">
        <v>187</v>
      </c>
      <c r="B138" s="40"/>
      <c r="C138" s="41"/>
      <c r="D138" s="41"/>
      <c r="E138" s="41">
        <v>214</v>
      </c>
      <c r="F138" s="41"/>
      <c r="G138" s="41"/>
      <c r="H138" s="41"/>
      <c r="I138" s="41"/>
      <c r="J138" s="41"/>
      <c r="K138" s="41"/>
      <c r="L138" s="42">
        <v>214</v>
      </c>
    </row>
    <row r="139" spans="1:12" ht="12.75">
      <c r="A139" s="39" t="s">
        <v>188</v>
      </c>
      <c r="B139" s="40">
        <v>210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2">
        <v>210</v>
      </c>
    </row>
    <row r="140" spans="1:12" ht="12.75">
      <c r="A140" s="39" t="s">
        <v>189</v>
      </c>
      <c r="B140" s="40"/>
      <c r="C140" s="41"/>
      <c r="D140" s="41"/>
      <c r="E140" s="41"/>
      <c r="F140" s="41"/>
      <c r="G140" s="41"/>
      <c r="H140" s="41">
        <v>208</v>
      </c>
      <c r="I140" s="41"/>
      <c r="J140" s="41"/>
      <c r="K140" s="41"/>
      <c r="L140" s="42">
        <v>208</v>
      </c>
    </row>
    <row r="141" spans="1:12" ht="12.75">
      <c r="A141" s="39" t="s">
        <v>190</v>
      </c>
      <c r="B141" s="40"/>
      <c r="C141" s="41"/>
      <c r="D141" s="41"/>
      <c r="E141" s="41"/>
      <c r="F141" s="41"/>
      <c r="G141" s="41">
        <v>206</v>
      </c>
      <c r="H141" s="41"/>
      <c r="I141" s="41"/>
      <c r="J141" s="41"/>
      <c r="K141" s="41"/>
      <c r="L141" s="42">
        <v>206</v>
      </c>
    </row>
    <row r="142" spans="1:12" ht="12.75">
      <c r="A142" s="39" t="s">
        <v>191</v>
      </c>
      <c r="B142" s="40"/>
      <c r="C142" s="41"/>
      <c r="D142" s="41"/>
      <c r="E142" s="41"/>
      <c r="F142" s="41"/>
      <c r="G142" s="41">
        <v>193</v>
      </c>
      <c r="H142" s="41"/>
      <c r="I142" s="41"/>
      <c r="J142" s="41"/>
      <c r="K142" s="41"/>
      <c r="L142" s="42">
        <v>193</v>
      </c>
    </row>
    <row r="143" spans="1:12" ht="12.75">
      <c r="A143" s="39" t="s">
        <v>192</v>
      </c>
      <c r="B143" s="40"/>
      <c r="C143" s="41"/>
      <c r="D143" s="41"/>
      <c r="E143" s="41"/>
      <c r="F143" s="41"/>
      <c r="G143" s="41">
        <v>183</v>
      </c>
      <c r="H143" s="41"/>
      <c r="I143" s="41"/>
      <c r="J143" s="41"/>
      <c r="K143" s="41"/>
      <c r="L143" s="42">
        <v>183</v>
      </c>
    </row>
    <row r="144" spans="1:12" ht="12.75">
      <c r="A144" s="39" t="s">
        <v>193</v>
      </c>
      <c r="B144" s="40"/>
      <c r="C144" s="41"/>
      <c r="D144" s="41"/>
      <c r="E144" s="41"/>
      <c r="F144" s="41"/>
      <c r="G144" s="41"/>
      <c r="H144" s="41"/>
      <c r="I144" s="41"/>
      <c r="J144" s="41"/>
      <c r="K144" s="41">
        <v>177</v>
      </c>
      <c r="L144" s="42">
        <v>177</v>
      </c>
    </row>
    <row r="145" spans="1:12" ht="12.75">
      <c r="A145" s="39" t="s">
        <v>194</v>
      </c>
      <c r="B145" s="40"/>
      <c r="C145" s="41"/>
      <c r="D145" s="41"/>
      <c r="E145" s="41"/>
      <c r="F145" s="41"/>
      <c r="G145" s="41"/>
      <c r="H145" s="41"/>
      <c r="I145" s="41"/>
      <c r="J145" s="41"/>
      <c r="K145" s="41">
        <v>176</v>
      </c>
      <c r="L145" s="42">
        <v>176</v>
      </c>
    </row>
    <row r="146" spans="1:12" ht="12.75">
      <c r="A146" s="39" t="s">
        <v>195</v>
      </c>
      <c r="B146" s="40"/>
      <c r="C146" s="41"/>
      <c r="D146" s="41"/>
      <c r="E146" s="41"/>
      <c r="F146" s="41"/>
      <c r="G146" s="41"/>
      <c r="H146" s="41"/>
      <c r="I146" s="41"/>
      <c r="J146" s="41"/>
      <c r="K146" s="41">
        <v>172</v>
      </c>
      <c r="L146" s="42">
        <v>172</v>
      </c>
    </row>
    <row r="147" spans="1:12" ht="12.75">
      <c r="A147" s="39" t="s">
        <v>196</v>
      </c>
      <c r="B147" s="40"/>
      <c r="C147" s="41"/>
      <c r="D147" s="41"/>
      <c r="E147" s="41"/>
      <c r="F147" s="41"/>
      <c r="G147" s="41"/>
      <c r="H147" s="41"/>
      <c r="I147" s="41"/>
      <c r="J147" s="41"/>
      <c r="K147" s="41">
        <v>172</v>
      </c>
      <c r="L147" s="42">
        <v>172</v>
      </c>
    </row>
    <row r="148" spans="1:12" ht="12.75">
      <c r="A148" s="39" t="s">
        <v>197</v>
      </c>
      <c r="B148" s="40"/>
      <c r="C148" s="41">
        <v>172</v>
      </c>
      <c r="D148" s="41"/>
      <c r="E148" s="41"/>
      <c r="F148" s="41"/>
      <c r="G148" s="41"/>
      <c r="H148" s="41"/>
      <c r="I148" s="41"/>
      <c r="J148" s="41"/>
      <c r="K148" s="41"/>
      <c r="L148" s="42">
        <v>172</v>
      </c>
    </row>
    <row r="149" spans="1:12" ht="12.75">
      <c r="A149" s="39" t="s">
        <v>198</v>
      </c>
      <c r="B149" s="40"/>
      <c r="C149" s="41"/>
      <c r="D149" s="41"/>
      <c r="E149" s="41"/>
      <c r="F149" s="41"/>
      <c r="G149" s="41"/>
      <c r="H149" s="41"/>
      <c r="I149" s="41"/>
      <c r="J149" s="41"/>
      <c r="K149" s="41">
        <v>168</v>
      </c>
      <c r="L149" s="42">
        <v>168</v>
      </c>
    </row>
    <row r="150" spans="1:12" ht="12.75">
      <c r="A150" s="39" t="s">
        <v>199</v>
      </c>
      <c r="B150" s="40"/>
      <c r="C150" s="41"/>
      <c r="D150" s="41"/>
      <c r="E150" s="41"/>
      <c r="F150" s="41">
        <v>146</v>
      </c>
      <c r="G150" s="41"/>
      <c r="H150" s="41"/>
      <c r="I150" s="41"/>
      <c r="J150" s="41"/>
      <c r="K150" s="41"/>
      <c r="L150" s="42">
        <v>146</v>
      </c>
    </row>
    <row r="151" spans="1:12" ht="12.75">
      <c r="A151" s="39" t="s">
        <v>200</v>
      </c>
      <c r="B151" s="40"/>
      <c r="C151" s="41"/>
      <c r="D151" s="41"/>
      <c r="E151" s="41"/>
      <c r="F151" s="41"/>
      <c r="G151" s="41">
        <v>140</v>
      </c>
      <c r="H151" s="41"/>
      <c r="I151" s="41"/>
      <c r="J151" s="41"/>
      <c r="K151" s="41"/>
      <c r="L151" s="42">
        <v>140</v>
      </c>
    </row>
    <row r="152" spans="1:12" ht="17.25" customHeight="1">
      <c r="A152" s="39" t="s">
        <v>201</v>
      </c>
      <c r="B152" s="40"/>
      <c r="C152" s="41"/>
      <c r="D152" s="41"/>
      <c r="E152" s="41"/>
      <c r="F152" s="41"/>
      <c r="G152" s="41">
        <v>137</v>
      </c>
      <c r="H152" s="41"/>
      <c r="I152" s="41"/>
      <c r="J152" s="41"/>
      <c r="K152" s="41"/>
      <c r="L152" s="42">
        <v>137</v>
      </c>
    </row>
    <row r="153" spans="1:12" ht="12.75">
      <c r="A153" s="39" t="s">
        <v>202</v>
      </c>
      <c r="B153" s="40"/>
      <c r="C153" s="41">
        <v>73</v>
      </c>
      <c r="D153" s="41"/>
      <c r="E153" s="41"/>
      <c r="F153" s="41"/>
      <c r="G153" s="41"/>
      <c r="H153" s="41"/>
      <c r="I153" s="41"/>
      <c r="J153" s="41"/>
      <c r="K153" s="41"/>
      <c r="L153" s="42">
        <v>73</v>
      </c>
    </row>
    <row r="154" spans="1:12" ht="12.75">
      <c r="A154" s="43" t="s">
        <v>425</v>
      </c>
      <c r="B154" s="44">
        <v>14093</v>
      </c>
      <c r="C154" s="45">
        <v>4309</v>
      </c>
      <c r="D154" s="45">
        <v>5634</v>
      </c>
      <c r="E154" s="45">
        <v>4286</v>
      </c>
      <c r="F154" s="45">
        <v>6807</v>
      </c>
      <c r="G154" s="45">
        <v>10511</v>
      </c>
      <c r="H154" s="45">
        <v>5009</v>
      </c>
      <c r="I154" s="45">
        <v>7535</v>
      </c>
      <c r="J154" s="45">
        <v>5261.6999999999989</v>
      </c>
      <c r="K154" s="45">
        <v>4124</v>
      </c>
      <c r="L154" s="46">
        <v>67569.7</v>
      </c>
    </row>
    <row r="155" spans="1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2:12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2:12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2:12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2:12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2:12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2:12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2:12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2:12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2:12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2:12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2:12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2:12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2:12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2:12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2:12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2:12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2:12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2:12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2:12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2:12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2:12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2:12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2:12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2:12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2:12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2:12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2:12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2:12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2:12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2:12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2:12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2:12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2:12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2:12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2:12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2:12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2:12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2:12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2:12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2:12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2:12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2:12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2:12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2:12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2:12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2:12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2:12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2:12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2:12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2:12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2:12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2:12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2:12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2:12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2:12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2:12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W999"/>
  <sheetViews>
    <sheetView workbookViewId="0"/>
  </sheetViews>
  <sheetFormatPr defaultColWidth="12.5703125" defaultRowHeight="15.75" customHeight="1"/>
  <cols>
    <col min="1" max="1" width="19.140625" customWidth="1"/>
    <col min="2" max="10" width="7.5703125" customWidth="1"/>
    <col min="11" max="11" width="10.42578125" customWidth="1"/>
    <col min="12" max="12" width="11.28515625" customWidth="1"/>
    <col min="13" max="13" width="8.85546875" customWidth="1"/>
  </cols>
  <sheetData>
    <row r="1" spans="1:23" ht="12.75">
      <c r="A1" s="47" t="s">
        <v>369</v>
      </c>
      <c r="B1" s="48" t="s">
        <v>382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/>
    <row r="3" spans="1:23" ht="12.75">
      <c r="A3" s="30" t="s">
        <v>203</v>
      </c>
      <c r="B3" s="30" t="s">
        <v>1</v>
      </c>
      <c r="C3" s="31"/>
      <c r="D3" s="31"/>
      <c r="E3" s="31"/>
      <c r="F3" s="31"/>
      <c r="G3" s="31"/>
      <c r="H3" s="31"/>
      <c r="I3" s="31"/>
      <c r="J3" s="31"/>
      <c r="K3" s="32"/>
    </row>
    <row r="4" spans="1:23" ht="12.75">
      <c r="A4" s="30" t="s">
        <v>54</v>
      </c>
      <c r="B4" s="33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10</v>
      </c>
      <c r="I4" s="34" t="s">
        <v>11</v>
      </c>
      <c r="J4" s="34" t="s">
        <v>12</v>
      </c>
      <c r="K4" s="35" t="s">
        <v>425</v>
      </c>
    </row>
    <row r="5" spans="1:23" ht="12.75">
      <c r="A5" s="33" t="s">
        <v>204</v>
      </c>
      <c r="B5" s="36"/>
      <c r="C5" s="37"/>
      <c r="D5" s="37">
        <v>520</v>
      </c>
      <c r="E5" s="37">
        <v>271</v>
      </c>
      <c r="F5" s="37">
        <v>233</v>
      </c>
      <c r="G5" s="37"/>
      <c r="H5" s="37"/>
      <c r="I5" s="37"/>
      <c r="J5" s="37"/>
      <c r="K5" s="38">
        <v>1024</v>
      </c>
    </row>
    <row r="6" spans="1:23" ht="12.75">
      <c r="A6" s="39" t="s">
        <v>205</v>
      </c>
      <c r="B6" s="40"/>
      <c r="C6" s="41"/>
      <c r="D6" s="41"/>
      <c r="E6" s="41"/>
      <c r="F6" s="41"/>
      <c r="G6" s="41"/>
      <c r="H6" s="41">
        <v>575</v>
      </c>
      <c r="I6" s="41">
        <v>307.89999999999998</v>
      </c>
      <c r="J6" s="41"/>
      <c r="K6" s="42">
        <v>882.9</v>
      </c>
    </row>
    <row r="7" spans="1:23" ht="17.25" customHeight="1">
      <c r="A7" s="39" t="s">
        <v>206</v>
      </c>
      <c r="B7" s="40"/>
      <c r="C7" s="41"/>
      <c r="D7" s="41"/>
      <c r="E7" s="41"/>
      <c r="F7" s="41"/>
      <c r="G7" s="41"/>
      <c r="H7" s="41">
        <v>571</v>
      </c>
      <c r="I7" s="41">
        <v>304.7</v>
      </c>
      <c r="J7" s="41"/>
      <c r="K7" s="42">
        <v>875.7</v>
      </c>
    </row>
    <row r="8" spans="1:23" ht="12.75">
      <c r="A8" s="39" t="s">
        <v>207</v>
      </c>
      <c r="B8" s="40"/>
      <c r="C8" s="41"/>
      <c r="D8" s="41"/>
      <c r="E8" s="41"/>
      <c r="F8" s="41"/>
      <c r="G8" s="41"/>
      <c r="H8" s="41">
        <v>557</v>
      </c>
      <c r="I8" s="41">
        <v>307.59999999999997</v>
      </c>
      <c r="J8" s="41"/>
      <c r="K8" s="42">
        <v>864.59999999999991</v>
      </c>
    </row>
    <row r="9" spans="1:23" ht="12.75">
      <c r="A9" s="39" t="s">
        <v>208</v>
      </c>
      <c r="B9" s="40"/>
      <c r="C9" s="41"/>
      <c r="D9" s="41">
        <v>562</v>
      </c>
      <c r="E9" s="41"/>
      <c r="F9" s="41">
        <v>285</v>
      </c>
      <c r="G9" s="41"/>
      <c r="H9" s="41"/>
      <c r="I9" s="41"/>
      <c r="J9" s="41"/>
      <c r="K9" s="42">
        <v>847</v>
      </c>
    </row>
    <row r="10" spans="1:23" ht="12.75">
      <c r="A10" s="39" t="s">
        <v>209</v>
      </c>
      <c r="B10" s="40">
        <v>274</v>
      </c>
      <c r="C10" s="41"/>
      <c r="D10" s="41"/>
      <c r="E10" s="41"/>
      <c r="F10" s="41"/>
      <c r="G10" s="41"/>
      <c r="H10" s="41">
        <v>560</v>
      </c>
      <c r="I10" s="41"/>
      <c r="J10" s="41"/>
      <c r="K10" s="42">
        <v>834</v>
      </c>
    </row>
    <row r="11" spans="1:23" ht="12.75">
      <c r="A11" s="39" t="s">
        <v>210</v>
      </c>
      <c r="B11" s="40">
        <v>262</v>
      </c>
      <c r="C11" s="41"/>
      <c r="D11" s="41"/>
      <c r="E11" s="41"/>
      <c r="F11" s="41"/>
      <c r="G11" s="41"/>
      <c r="H11" s="41">
        <v>568</v>
      </c>
      <c r="I11" s="41"/>
      <c r="J11" s="41"/>
      <c r="K11" s="42">
        <v>830</v>
      </c>
    </row>
    <row r="12" spans="1:23" ht="12.75">
      <c r="A12" s="39" t="s">
        <v>211</v>
      </c>
      <c r="B12" s="40"/>
      <c r="C12" s="41"/>
      <c r="D12" s="41"/>
      <c r="E12" s="41"/>
      <c r="F12" s="41"/>
      <c r="G12" s="41"/>
      <c r="H12" s="41">
        <v>518</v>
      </c>
      <c r="I12" s="41">
        <v>297.20000000000005</v>
      </c>
      <c r="J12" s="41"/>
      <c r="K12" s="42">
        <v>815.2</v>
      </c>
    </row>
    <row r="13" spans="1:23" ht="12.75">
      <c r="A13" s="39" t="s">
        <v>212</v>
      </c>
      <c r="B13" s="40"/>
      <c r="C13" s="41"/>
      <c r="D13" s="41"/>
      <c r="E13" s="41"/>
      <c r="F13" s="41"/>
      <c r="G13" s="41"/>
      <c r="H13" s="41">
        <v>500</v>
      </c>
      <c r="I13" s="41">
        <v>299.2</v>
      </c>
      <c r="J13" s="41"/>
      <c r="K13" s="42">
        <v>799.2</v>
      </c>
    </row>
    <row r="14" spans="1:23" ht="12.75">
      <c r="A14" s="39" t="s">
        <v>213</v>
      </c>
      <c r="B14" s="40">
        <v>253</v>
      </c>
      <c r="C14" s="41">
        <v>169</v>
      </c>
      <c r="D14" s="41"/>
      <c r="E14" s="41"/>
      <c r="F14" s="41"/>
      <c r="G14" s="41">
        <v>237</v>
      </c>
      <c r="H14" s="41"/>
      <c r="I14" s="41"/>
      <c r="J14" s="41"/>
      <c r="K14" s="42">
        <v>659</v>
      </c>
    </row>
    <row r="15" spans="1:23" ht="12.75">
      <c r="A15" s="39" t="s">
        <v>214</v>
      </c>
      <c r="B15" s="40">
        <v>263</v>
      </c>
      <c r="C15" s="41">
        <v>162</v>
      </c>
      <c r="D15" s="41"/>
      <c r="E15" s="41"/>
      <c r="F15" s="41"/>
      <c r="G15" s="41">
        <v>201</v>
      </c>
      <c r="H15" s="41"/>
      <c r="I15" s="41"/>
      <c r="J15" s="41"/>
      <c r="K15" s="42">
        <v>626</v>
      </c>
    </row>
    <row r="16" spans="1:23" ht="12.75">
      <c r="A16" s="39" t="s">
        <v>215</v>
      </c>
      <c r="B16" s="40"/>
      <c r="C16" s="41"/>
      <c r="D16" s="41">
        <v>355</v>
      </c>
      <c r="E16" s="41">
        <v>236</v>
      </c>
      <c r="F16" s="41"/>
      <c r="G16" s="41"/>
      <c r="H16" s="41"/>
      <c r="I16" s="41"/>
      <c r="J16" s="41"/>
      <c r="K16" s="42">
        <v>591</v>
      </c>
    </row>
    <row r="17" spans="1:11" ht="12.75">
      <c r="A17" s="39" t="s">
        <v>216</v>
      </c>
      <c r="B17" s="40"/>
      <c r="C17" s="41"/>
      <c r="D17" s="41"/>
      <c r="E17" s="41"/>
      <c r="F17" s="41"/>
      <c r="G17" s="41"/>
      <c r="H17" s="41">
        <v>586</v>
      </c>
      <c r="I17" s="41"/>
      <c r="J17" s="41"/>
      <c r="K17" s="42">
        <v>586</v>
      </c>
    </row>
    <row r="18" spans="1:11" ht="12.75">
      <c r="A18" s="39" t="s">
        <v>217</v>
      </c>
      <c r="B18" s="40"/>
      <c r="C18" s="41"/>
      <c r="D18" s="41"/>
      <c r="E18" s="41"/>
      <c r="F18" s="41"/>
      <c r="G18" s="41"/>
      <c r="H18" s="41">
        <v>352</v>
      </c>
      <c r="I18" s="41">
        <v>232.99999999999997</v>
      </c>
      <c r="J18" s="41"/>
      <c r="K18" s="42">
        <v>585</v>
      </c>
    </row>
    <row r="19" spans="1:11" ht="12.75">
      <c r="A19" s="39" t="s">
        <v>218</v>
      </c>
      <c r="B19" s="40"/>
      <c r="C19" s="41"/>
      <c r="D19" s="41">
        <v>568</v>
      </c>
      <c r="E19" s="41"/>
      <c r="F19" s="41"/>
      <c r="G19" s="41"/>
      <c r="H19" s="41"/>
      <c r="I19" s="41"/>
      <c r="J19" s="41"/>
      <c r="K19" s="42">
        <v>568</v>
      </c>
    </row>
    <row r="20" spans="1:11" ht="12.75">
      <c r="A20" s="39" t="s">
        <v>219</v>
      </c>
      <c r="B20" s="40"/>
      <c r="C20" s="41"/>
      <c r="D20" s="41">
        <v>558</v>
      </c>
      <c r="E20" s="41"/>
      <c r="F20" s="41"/>
      <c r="G20" s="41"/>
      <c r="H20" s="41"/>
      <c r="I20" s="41"/>
      <c r="J20" s="41"/>
      <c r="K20" s="42">
        <v>558</v>
      </c>
    </row>
    <row r="21" spans="1:11" ht="12.75">
      <c r="A21" s="39" t="s">
        <v>220</v>
      </c>
      <c r="B21" s="40"/>
      <c r="C21" s="41"/>
      <c r="D21" s="41"/>
      <c r="E21" s="41">
        <v>279</v>
      </c>
      <c r="F21" s="41">
        <v>272</v>
      </c>
      <c r="G21" s="41"/>
      <c r="H21" s="41"/>
      <c r="I21" s="41"/>
      <c r="J21" s="41"/>
      <c r="K21" s="42">
        <v>551</v>
      </c>
    </row>
    <row r="22" spans="1:11" ht="12.75">
      <c r="A22" s="39" t="s">
        <v>221</v>
      </c>
      <c r="B22" s="40"/>
      <c r="C22" s="41"/>
      <c r="D22" s="41">
        <v>541</v>
      </c>
      <c r="E22" s="41"/>
      <c r="F22" s="41"/>
      <c r="G22" s="41"/>
      <c r="H22" s="41"/>
      <c r="I22" s="41"/>
      <c r="J22" s="41"/>
      <c r="K22" s="42">
        <v>541</v>
      </c>
    </row>
    <row r="23" spans="1:11" ht="12.75">
      <c r="A23" s="39" t="s">
        <v>222</v>
      </c>
      <c r="B23" s="40"/>
      <c r="C23" s="41"/>
      <c r="D23" s="41">
        <v>539</v>
      </c>
      <c r="E23" s="41"/>
      <c r="F23" s="41"/>
      <c r="G23" s="41"/>
      <c r="H23" s="41"/>
      <c r="I23" s="41"/>
      <c r="J23" s="41"/>
      <c r="K23" s="42">
        <v>539</v>
      </c>
    </row>
    <row r="24" spans="1:11" ht="12.75">
      <c r="A24" s="39" t="s">
        <v>223</v>
      </c>
      <c r="B24" s="40">
        <v>288</v>
      </c>
      <c r="C24" s="41"/>
      <c r="D24" s="41"/>
      <c r="E24" s="41"/>
      <c r="F24" s="41"/>
      <c r="G24" s="41">
        <v>246</v>
      </c>
      <c r="H24" s="41"/>
      <c r="I24" s="41"/>
      <c r="J24" s="41"/>
      <c r="K24" s="42">
        <v>534</v>
      </c>
    </row>
    <row r="25" spans="1:11" ht="12.75">
      <c r="A25" s="39" t="s">
        <v>224</v>
      </c>
      <c r="B25" s="40">
        <v>270</v>
      </c>
      <c r="C25" s="41"/>
      <c r="D25" s="41"/>
      <c r="E25" s="41"/>
      <c r="F25" s="41"/>
      <c r="G25" s="41">
        <v>262</v>
      </c>
      <c r="H25" s="41"/>
      <c r="I25" s="41"/>
      <c r="J25" s="41"/>
      <c r="K25" s="42">
        <v>532</v>
      </c>
    </row>
    <row r="26" spans="1:11" ht="12.75">
      <c r="A26" s="39" t="s">
        <v>225</v>
      </c>
      <c r="B26" s="40"/>
      <c r="C26" s="41"/>
      <c r="D26" s="41">
        <v>299</v>
      </c>
      <c r="E26" s="41">
        <v>232</v>
      </c>
      <c r="F26" s="41"/>
      <c r="G26" s="41"/>
      <c r="H26" s="41"/>
      <c r="I26" s="41"/>
      <c r="J26" s="41"/>
      <c r="K26" s="42">
        <v>531</v>
      </c>
    </row>
    <row r="27" spans="1:11" ht="12.75">
      <c r="A27" s="39" t="s">
        <v>226</v>
      </c>
      <c r="B27" s="40">
        <v>257</v>
      </c>
      <c r="C27" s="41"/>
      <c r="D27" s="41"/>
      <c r="E27" s="41"/>
      <c r="F27" s="41">
        <v>266</v>
      </c>
      <c r="G27" s="41"/>
      <c r="H27" s="41"/>
      <c r="I27" s="41"/>
      <c r="J27" s="41"/>
      <c r="K27" s="42">
        <v>523</v>
      </c>
    </row>
    <row r="28" spans="1:11" ht="12.75">
      <c r="A28" s="39" t="s">
        <v>227</v>
      </c>
      <c r="B28" s="40"/>
      <c r="C28" s="41"/>
      <c r="D28" s="41"/>
      <c r="E28" s="41">
        <v>278</v>
      </c>
      <c r="F28" s="41">
        <v>243</v>
      </c>
      <c r="G28" s="41"/>
      <c r="H28" s="41"/>
      <c r="I28" s="41"/>
      <c r="J28" s="41"/>
      <c r="K28" s="42">
        <v>521</v>
      </c>
    </row>
    <row r="29" spans="1:11" ht="12.75">
      <c r="A29" s="39" t="s">
        <v>228</v>
      </c>
      <c r="B29" s="40"/>
      <c r="C29" s="41"/>
      <c r="D29" s="41"/>
      <c r="E29" s="41">
        <v>261</v>
      </c>
      <c r="F29" s="41">
        <v>259</v>
      </c>
      <c r="G29" s="41"/>
      <c r="H29" s="41"/>
      <c r="I29" s="41"/>
      <c r="J29" s="41"/>
      <c r="K29" s="42">
        <v>520</v>
      </c>
    </row>
    <row r="30" spans="1:11" ht="12.75">
      <c r="A30" s="39" t="s">
        <v>229</v>
      </c>
      <c r="B30" s="40"/>
      <c r="C30" s="41"/>
      <c r="D30" s="41"/>
      <c r="E30" s="41">
        <v>263</v>
      </c>
      <c r="F30" s="41">
        <v>247</v>
      </c>
      <c r="G30" s="41"/>
      <c r="H30" s="41"/>
      <c r="I30" s="41"/>
      <c r="J30" s="41"/>
      <c r="K30" s="42">
        <v>510</v>
      </c>
    </row>
    <row r="31" spans="1:11" ht="12.75">
      <c r="A31" s="39" t="s">
        <v>230</v>
      </c>
      <c r="B31" s="40"/>
      <c r="C31" s="41"/>
      <c r="D31" s="41"/>
      <c r="E31" s="41"/>
      <c r="F31" s="41">
        <v>223</v>
      </c>
      <c r="G31" s="41"/>
      <c r="H31" s="41"/>
      <c r="I31" s="41">
        <v>281.10000000000002</v>
      </c>
      <c r="J31" s="41"/>
      <c r="K31" s="42">
        <v>504.1</v>
      </c>
    </row>
    <row r="32" spans="1:11" ht="12.75">
      <c r="A32" s="39" t="s">
        <v>231</v>
      </c>
      <c r="B32" s="40"/>
      <c r="C32" s="41"/>
      <c r="D32" s="41"/>
      <c r="E32" s="41"/>
      <c r="F32" s="41"/>
      <c r="G32" s="41"/>
      <c r="H32" s="41">
        <v>493</v>
      </c>
      <c r="I32" s="41"/>
      <c r="J32" s="41"/>
      <c r="K32" s="42">
        <v>493</v>
      </c>
    </row>
    <row r="33" spans="1:11" ht="12.75">
      <c r="A33" s="39" t="s">
        <v>181</v>
      </c>
      <c r="B33" s="40"/>
      <c r="C33" s="41"/>
      <c r="D33" s="41"/>
      <c r="E33" s="41"/>
      <c r="F33" s="41"/>
      <c r="G33" s="41"/>
      <c r="H33" s="41">
        <v>485</v>
      </c>
      <c r="I33" s="41"/>
      <c r="J33" s="41"/>
      <c r="K33" s="42">
        <v>485</v>
      </c>
    </row>
    <row r="34" spans="1:11" ht="12.75">
      <c r="A34" s="39" t="s">
        <v>232</v>
      </c>
      <c r="B34" s="40"/>
      <c r="C34" s="41"/>
      <c r="D34" s="41"/>
      <c r="E34" s="41">
        <v>217</v>
      </c>
      <c r="F34" s="41">
        <v>250</v>
      </c>
      <c r="G34" s="41"/>
      <c r="H34" s="41"/>
      <c r="I34" s="41"/>
      <c r="J34" s="41"/>
      <c r="K34" s="42">
        <v>467</v>
      </c>
    </row>
    <row r="35" spans="1:11" ht="12.75">
      <c r="A35" s="39" t="s">
        <v>233</v>
      </c>
      <c r="B35" s="40"/>
      <c r="C35" s="41"/>
      <c r="D35" s="41"/>
      <c r="E35" s="41"/>
      <c r="F35" s="41"/>
      <c r="G35" s="41"/>
      <c r="H35" s="41">
        <v>464</v>
      </c>
      <c r="I35" s="41"/>
      <c r="J35" s="41"/>
      <c r="K35" s="42">
        <v>464</v>
      </c>
    </row>
    <row r="36" spans="1:11" ht="12.75">
      <c r="A36" s="39" t="s">
        <v>234</v>
      </c>
      <c r="B36" s="40">
        <v>258</v>
      </c>
      <c r="C36" s="41"/>
      <c r="D36" s="41"/>
      <c r="E36" s="41"/>
      <c r="F36" s="41"/>
      <c r="G36" s="41">
        <v>203</v>
      </c>
      <c r="H36" s="41"/>
      <c r="I36" s="41"/>
      <c r="J36" s="41"/>
      <c r="K36" s="42">
        <v>461</v>
      </c>
    </row>
    <row r="37" spans="1:11" ht="12.75">
      <c r="A37" s="39" t="s">
        <v>235</v>
      </c>
      <c r="B37" s="40">
        <v>215</v>
      </c>
      <c r="C37" s="41"/>
      <c r="D37" s="41"/>
      <c r="E37" s="41"/>
      <c r="F37" s="41">
        <v>237</v>
      </c>
      <c r="G37" s="41"/>
      <c r="H37" s="41"/>
      <c r="I37" s="41"/>
      <c r="J37" s="41"/>
      <c r="K37" s="42">
        <v>452</v>
      </c>
    </row>
    <row r="38" spans="1:11" ht="12.75">
      <c r="A38" s="39" t="s">
        <v>236</v>
      </c>
      <c r="B38" s="40">
        <v>252</v>
      </c>
      <c r="C38" s="41"/>
      <c r="D38" s="41"/>
      <c r="E38" s="41"/>
      <c r="F38" s="41"/>
      <c r="G38" s="41">
        <v>199</v>
      </c>
      <c r="H38" s="41"/>
      <c r="I38" s="41"/>
      <c r="J38" s="41"/>
      <c r="K38" s="42">
        <v>451</v>
      </c>
    </row>
    <row r="39" spans="1:11" ht="12.75">
      <c r="A39" s="39" t="s">
        <v>237</v>
      </c>
      <c r="B39" s="40"/>
      <c r="C39" s="41">
        <v>186</v>
      </c>
      <c r="D39" s="41"/>
      <c r="E39" s="41"/>
      <c r="F39" s="41"/>
      <c r="G39" s="41">
        <v>257</v>
      </c>
      <c r="H39" s="41"/>
      <c r="I39" s="41"/>
      <c r="J39" s="41"/>
      <c r="K39" s="42">
        <v>443</v>
      </c>
    </row>
    <row r="40" spans="1:11" ht="12.75">
      <c r="A40" s="39" t="s">
        <v>238</v>
      </c>
      <c r="B40" s="40"/>
      <c r="C40" s="41"/>
      <c r="D40" s="41"/>
      <c r="E40" s="41"/>
      <c r="F40" s="41"/>
      <c r="G40" s="41">
        <v>165</v>
      </c>
      <c r="H40" s="41"/>
      <c r="I40" s="41">
        <v>276.89999999999998</v>
      </c>
      <c r="J40" s="41"/>
      <c r="K40" s="42">
        <v>441.9</v>
      </c>
    </row>
    <row r="41" spans="1:11" ht="12.75">
      <c r="A41" s="39" t="s">
        <v>239</v>
      </c>
      <c r="B41" s="40"/>
      <c r="C41" s="41"/>
      <c r="D41" s="41">
        <v>426</v>
      </c>
      <c r="E41" s="41"/>
      <c r="F41" s="41"/>
      <c r="G41" s="41"/>
      <c r="H41" s="41"/>
      <c r="I41" s="41"/>
      <c r="J41" s="41"/>
      <c r="K41" s="42">
        <v>426</v>
      </c>
    </row>
    <row r="42" spans="1:11" ht="12.75">
      <c r="A42" s="39" t="s">
        <v>240</v>
      </c>
      <c r="B42" s="40">
        <v>268</v>
      </c>
      <c r="C42" s="41"/>
      <c r="D42" s="41"/>
      <c r="E42" s="41"/>
      <c r="F42" s="41"/>
      <c r="G42" s="41">
        <v>152</v>
      </c>
      <c r="H42" s="41"/>
      <c r="I42" s="41"/>
      <c r="J42" s="41"/>
      <c r="K42" s="42">
        <v>420</v>
      </c>
    </row>
    <row r="43" spans="1:11" ht="12.75">
      <c r="A43" s="39" t="s">
        <v>241</v>
      </c>
      <c r="B43" s="40">
        <v>218</v>
      </c>
      <c r="C43" s="41"/>
      <c r="D43" s="41"/>
      <c r="E43" s="41"/>
      <c r="F43" s="41"/>
      <c r="G43" s="41">
        <v>186</v>
      </c>
      <c r="H43" s="41"/>
      <c r="I43" s="41"/>
      <c r="J43" s="41"/>
      <c r="K43" s="42">
        <v>404</v>
      </c>
    </row>
    <row r="44" spans="1:11" ht="12.75">
      <c r="A44" s="39" t="s">
        <v>242</v>
      </c>
      <c r="B44" s="40"/>
      <c r="C44" s="41"/>
      <c r="D44" s="41"/>
      <c r="E44" s="41"/>
      <c r="F44" s="41">
        <v>238</v>
      </c>
      <c r="G44" s="41">
        <v>145</v>
      </c>
      <c r="H44" s="41"/>
      <c r="I44" s="41"/>
      <c r="J44" s="41"/>
      <c r="K44" s="42">
        <v>383</v>
      </c>
    </row>
    <row r="45" spans="1:11" ht="12.75">
      <c r="A45" s="39" t="s">
        <v>243</v>
      </c>
      <c r="B45" s="40">
        <v>207</v>
      </c>
      <c r="C45" s="41"/>
      <c r="D45" s="41"/>
      <c r="E45" s="41"/>
      <c r="F45" s="41"/>
      <c r="G45" s="41">
        <v>173</v>
      </c>
      <c r="H45" s="41"/>
      <c r="I45" s="41"/>
      <c r="J45" s="41"/>
      <c r="K45" s="42">
        <v>380</v>
      </c>
    </row>
    <row r="46" spans="1:11" ht="12.75">
      <c r="A46" s="39" t="s">
        <v>244</v>
      </c>
      <c r="B46" s="40">
        <v>214</v>
      </c>
      <c r="C46" s="41"/>
      <c r="D46" s="41"/>
      <c r="E46" s="41"/>
      <c r="F46" s="41"/>
      <c r="G46" s="41">
        <v>162</v>
      </c>
      <c r="H46" s="41"/>
      <c r="I46" s="41"/>
      <c r="J46" s="41"/>
      <c r="K46" s="42">
        <v>376</v>
      </c>
    </row>
    <row r="47" spans="1:11" ht="12.75">
      <c r="A47" s="39" t="s">
        <v>245</v>
      </c>
      <c r="B47" s="40">
        <v>228</v>
      </c>
      <c r="C47" s="41"/>
      <c r="D47" s="41"/>
      <c r="E47" s="41"/>
      <c r="F47" s="41"/>
      <c r="G47" s="41">
        <v>133</v>
      </c>
      <c r="H47" s="41"/>
      <c r="I47" s="41"/>
      <c r="J47" s="41"/>
      <c r="K47" s="42">
        <v>361</v>
      </c>
    </row>
    <row r="48" spans="1:11" ht="12.75">
      <c r="A48" s="39" t="s">
        <v>246</v>
      </c>
      <c r="B48" s="40"/>
      <c r="C48" s="41">
        <v>138</v>
      </c>
      <c r="D48" s="41"/>
      <c r="E48" s="41"/>
      <c r="F48" s="41"/>
      <c r="G48" s="41">
        <v>193</v>
      </c>
      <c r="H48" s="41"/>
      <c r="I48" s="41"/>
      <c r="J48" s="41"/>
      <c r="K48" s="42">
        <v>331</v>
      </c>
    </row>
    <row r="49" spans="1:11" ht="12.75">
      <c r="A49" s="39" t="s">
        <v>247</v>
      </c>
      <c r="B49" s="40"/>
      <c r="C49" s="41"/>
      <c r="D49" s="41"/>
      <c r="E49" s="41"/>
      <c r="F49" s="41"/>
      <c r="G49" s="41"/>
      <c r="H49" s="41"/>
      <c r="I49" s="41">
        <v>308.39999999999998</v>
      </c>
      <c r="J49" s="41"/>
      <c r="K49" s="42">
        <v>308.39999999999998</v>
      </c>
    </row>
    <row r="50" spans="1:11" ht="12.75">
      <c r="A50" s="39" t="s">
        <v>248</v>
      </c>
      <c r="B50" s="40"/>
      <c r="C50" s="41"/>
      <c r="D50" s="41"/>
      <c r="E50" s="41"/>
      <c r="F50" s="41"/>
      <c r="G50" s="41"/>
      <c r="H50" s="41"/>
      <c r="I50" s="41">
        <v>306.60000000000002</v>
      </c>
      <c r="J50" s="41"/>
      <c r="K50" s="42">
        <v>306.60000000000002</v>
      </c>
    </row>
    <row r="51" spans="1:11" ht="12.75">
      <c r="A51" s="39" t="s">
        <v>249</v>
      </c>
      <c r="B51" s="40"/>
      <c r="C51" s="41"/>
      <c r="D51" s="41"/>
      <c r="E51" s="41"/>
      <c r="F51" s="41"/>
      <c r="G51" s="41"/>
      <c r="H51" s="41"/>
      <c r="I51" s="41">
        <v>301.39999999999998</v>
      </c>
      <c r="J51" s="41"/>
      <c r="K51" s="42">
        <v>301.39999999999998</v>
      </c>
    </row>
    <row r="52" spans="1:11" ht="12.75">
      <c r="A52" s="39" t="s">
        <v>250</v>
      </c>
      <c r="B52" s="40"/>
      <c r="C52" s="41"/>
      <c r="D52" s="41"/>
      <c r="E52" s="41"/>
      <c r="F52" s="41"/>
      <c r="G52" s="41"/>
      <c r="H52" s="41"/>
      <c r="I52" s="41">
        <v>293.3</v>
      </c>
      <c r="J52" s="41"/>
      <c r="K52" s="42">
        <v>293.3</v>
      </c>
    </row>
    <row r="53" spans="1:11" ht="12.75">
      <c r="A53" s="39" t="s">
        <v>251</v>
      </c>
      <c r="B53" s="40"/>
      <c r="C53" s="41"/>
      <c r="D53" s="41"/>
      <c r="E53" s="41"/>
      <c r="F53" s="41"/>
      <c r="G53" s="41"/>
      <c r="H53" s="41"/>
      <c r="I53" s="41">
        <v>292.79999999999995</v>
      </c>
      <c r="J53" s="41"/>
      <c r="K53" s="42">
        <v>292.79999999999995</v>
      </c>
    </row>
    <row r="54" spans="1:11" ht="12.75">
      <c r="A54" s="39" t="s">
        <v>252</v>
      </c>
      <c r="B54" s="40"/>
      <c r="C54" s="41"/>
      <c r="D54" s="41"/>
      <c r="E54" s="41"/>
      <c r="F54" s="41"/>
      <c r="G54" s="41"/>
      <c r="H54" s="41"/>
      <c r="I54" s="41">
        <v>286.5</v>
      </c>
      <c r="J54" s="41"/>
      <c r="K54" s="42">
        <v>286.5</v>
      </c>
    </row>
    <row r="55" spans="1:11" ht="12.75">
      <c r="A55" s="39" t="s">
        <v>253</v>
      </c>
      <c r="B55" s="40"/>
      <c r="C55" s="41"/>
      <c r="D55" s="41"/>
      <c r="E55" s="41">
        <v>285</v>
      </c>
      <c r="F55" s="41"/>
      <c r="G55" s="41"/>
      <c r="H55" s="41"/>
      <c r="I55" s="41"/>
      <c r="J55" s="41"/>
      <c r="K55" s="42">
        <v>285</v>
      </c>
    </row>
    <row r="56" spans="1:11" ht="12.75">
      <c r="A56" s="39" t="s">
        <v>254</v>
      </c>
      <c r="B56" s="40"/>
      <c r="C56" s="41"/>
      <c r="D56" s="41"/>
      <c r="E56" s="41"/>
      <c r="F56" s="41"/>
      <c r="G56" s="41"/>
      <c r="H56" s="41"/>
      <c r="I56" s="41">
        <v>284.7</v>
      </c>
      <c r="J56" s="41"/>
      <c r="K56" s="42">
        <v>284.7</v>
      </c>
    </row>
    <row r="57" spans="1:11" ht="12.75">
      <c r="A57" s="39" t="s">
        <v>255</v>
      </c>
      <c r="B57" s="40"/>
      <c r="C57" s="41"/>
      <c r="D57" s="41"/>
      <c r="E57" s="41"/>
      <c r="F57" s="41"/>
      <c r="G57" s="41"/>
      <c r="H57" s="41"/>
      <c r="I57" s="41">
        <v>284.60000000000002</v>
      </c>
      <c r="J57" s="41"/>
      <c r="K57" s="42">
        <v>284.60000000000002</v>
      </c>
    </row>
    <row r="58" spans="1:11" ht="12.75">
      <c r="A58" s="39" t="s">
        <v>256</v>
      </c>
      <c r="B58" s="40">
        <v>212</v>
      </c>
      <c r="C58" s="41"/>
      <c r="D58" s="41"/>
      <c r="E58" s="41"/>
      <c r="F58" s="41"/>
      <c r="G58" s="41">
        <v>71</v>
      </c>
      <c r="H58" s="41"/>
      <c r="I58" s="41"/>
      <c r="J58" s="41"/>
      <c r="K58" s="42">
        <v>283</v>
      </c>
    </row>
    <row r="59" spans="1:11" ht="12.75">
      <c r="A59" s="39" t="s">
        <v>257</v>
      </c>
      <c r="B59" s="40"/>
      <c r="C59" s="41"/>
      <c r="D59" s="41"/>
      <c r="E59" s="41"/>
      <c r="F59" s="41"/>
      <c r="G59" s="41"/>
      <c r="H59" s="41"/>
      <c r="I59" s="41">
        <v>276.10000000000002</v>
      </c>
      <c r="J59" s="41"/>
      <c r="K59" s="42">
        <v>276.10000000000002</v>
      </c>
    </row>
    <row r="60" spans="1:11" ht="12.75">
      <c r="A60" s="39" t="s">
        <v>258</v>
      </c>
      <c r="B60" s="40">
        <v>276</v>
      </c>
      <c r="C60" s="41"/>
      <c r="D60" s="41"/>
      <c r="E60" s="41"/>
      <c r="F60" s="41"/>
      <c r="G60" s="41"/>
      <c r="H60" s="41"/>
      <c r="I60" s="41"/>
      <c r="J60" s="41"/>
      <c r="K60" s="42">
        <v>276</v>
      </c>
    </row>
    <row r="61" spans="1:11" ht="12.75">
      <c r="A61" s="39" t="s">
        <v>259</v>
      </c>
      <c r="B61" s="40">
        <v>184</v>
      </c>
      <c r="C61" s="41"/>
      <c r="D61" s="41"/>
      <c r="E61" s="41"/>
      <c r="F61" s="41"/>
      <c r="G61" s="41">
        <v>89</v>
      </c>
      <c r="H61" s="41"/>
      <c r="I61" s="41"/>
      <c r="J61" s="41"/>
      <c r="K61" s="42">
        <v>273</v>
      </c>
    </row>
    <row r="62" spans="1:11" ht="12.75">
      <c r="A62" s="39" t="s">
        <v>260</v>
      </c>
      <c r="B62" s="40"/>
      <c r="C62" s="41"/>
      <c r="D62" s="41"/>
      <c r="E62" s="41">
        <v>260</v>
      </c>
      <c r="F62" s="41"/>
      <c r="G62" s="41"/>
      <c r="H62" s="41"/>
      <c r="I62" s="41"/>
      <c r="J62" s="41"/>
      <c r="K62" s="42">
        <v>260</v>
      </c>
    </row>
    <row r="63" spans="1:11" ht="12.75">
      <c r="A63" s="39" t="s">
        <v>261</v>
      </c>
      <c r="B63" s="40"/>
      <c r="C63" s="41"/>
      <c r="D63" s="41"/>
      <c r="E63" s="41">
        <v>256</v>
      </c>
      <c r="F63" s="41"/>
      <c r="G63" s="41"/>
      <c r="H63" s="41"/>
      <c r="I63" s="41"/>
      <c r="J63" s="41"/>
      <c r="K63" s="42">
        <v>256</v>
      </c>
    </row>
    <row r="64" spans="1:11" ht="12.75">
      <c r="A64" s="39" t="s">
        <v>263</v>
      </c>
      <c r="B64" s="40">
        <v>255</v>
      </c>
      <c r="C64" s="41"/>
      <c r="D64" s="41"/>
      <c r="E64" s="41"/>
      <c r="F64" s="41"/>
      <c r="G64" s="41"/>
      <c r="H64" s="41"/>
      <c r="I64" s="41"/>
      <c r="J64" s="41"/>
      <c r="K64" s="42">
        <v>255</v>
      </c>
    </row>
    <row r="65" spans="1:11" ht="12.75">
      <c r="A65" s="39" t="s">
        <v>262</v>
      </c>
      <c r="B65" s="40"/>
      <c r="C65" s="41"/>
      <c r="D65" s="41"/>
      <c r="E65" s="41"/>
      <c r="F65" s="41">
        <v>255</v>
      </c>
      <c r="G65" s="41"/>
      <c r="H65" s="41"/>
      <c r="I65" s="41"/>
      <c r="J65" s="41"/>
      <c r="K65" s="42">
        <v>255</v>
      </c>
    </row>
    <row r="66" spans="1:11" ht="12.75">
      <c r="A66" s="39" t="s">
        <v>264</v>
      </c>
      <c r="B66" s="40"/>
      <c r="C66" s="41"/>
      <c r="D66" s="41"/>
      <c r="E66" s="41">
        <v>254</v>
      </c>
      <c r="F66" s="41"/>
      <c r="G66" s="41"/>
      <c r="H66" s="41"/>
      <c r="I66" s="41"/>
      <c r="J66" s="41"/>
      <c r="K66" s="42">
        <v>254</v>
      </c>
    </row>
    <row r="67" spans="1:11" ht="12.75">
      <c r="A67" s="39" t="s">
        <v>265</v>
      </c>
      <c r="B67" s="40"/>
      <c r="C67" s="41"/>
      <c r="D67" s="41"/>
      <c r="E67" s="41"/>
      <c r="F67" s="41">
        <v>240</v>
      </c>
      <c r="G67" s="41"/>
      <c r="H67" s="41"/>
      <c r="I67" s="41"/>
      <c r="J67" s="41"/>
      <c r="K67" s="42">
        <v>240</v>
      </c>
    </row>
    <row r="68" spans="1:11" ht="12.75">
      <c r="A68" s="39" t="s">
        <v>266</v>
      </c>
      <c r="B68" s="40">
        <v>235</v>
      </c>
      <c r="C68" s="41"/>
      <c r="D68" s="41"/>
      <c r="E68" s="41"/>
      <c r="F68" s="41"/>
      <c r="G68" s="41"/>
      <c r="H68" s="41"/>
      <c r="I68" s="41"/>
      <c r="J68" s="41"/>
      <c r="K68" s="42">
        <v>235</v>
      </c>
    </row>
    <row r="69" spans="1:11" ht="12.75">
      <c r="A69" s="39" t="s">
        <v>267</v>
      </c>
      <c r="B69" s="40"/>
      <c r="C69" s="41"/>
      <c r="D69" s="41"/>
      <c r="E69" s="41"/>
      <c r="F69" s="41">
        <v>224</v>
      </c>
      <c r="G69" s="41"/>
      <c r="H69" s="41"/>
      <c r="I69" s="41"/>
      <c r="J69" s="41"/>
      <c r="K69" s="42">
        <v>224</v>
      </c>
    </row>
    <row r="70" spans="1:11" ht="12.75">
      <c r="A70" s="39" t="s">
        <v>268</v>
      </c>
      <c r="B70" s="40"/>
      <c r="C70" s="41"/>
      <c r="D70" s="41"/>
      <c r="E70" s="41"/>
      <c r="F70" s="41">
        <v>223</v>
      </c>
      <c r="G70" s="41"/>
      <c r="H70" s="41"/>
      <c r="I70" s="41"/>
      <c r="J70" s="41"/>
      <c r="K70" s="42">
        <v>223</v>
      </c>
    </row>
    <row r="71" spans="1:11" ht="12.75">
      <c r="A71" s="39" t="s">
        <v>269</v>
      </c>
      <c r="B71" s="40"/>
      <c r="C71" s="41"/>
      <c r="D71" s="41"/>
      <c r="E71" s="41">
        <v>223</v>
      </c>
      <c r="F71" s="41"/>
      <c r="G71" s="41"/>
      <c r="H71" s="41"/>
      <c r="I71" s="41"/>
      <c r="J71" s="41"/>
      <c r="K71" s="42">
        <v>223</v>
      </c>
    </row>
    <row r="72" spans="1:11" ht="12.75">
      <c r="A72" s="39" t="s">
        <v>270</v>
      </c>
      <c r="B72" s="40"/>
      <c r="C72" s="41"/>
      <c r="D72" s="41"/>
      <c r="E72" s="41">
        <v>217</v>
      </c>
      <c r="F72" s="41"/>
      <c r="G72" s="41"/>
      <c r="H72" s="41"/>
      <c r="I72" s="41"/>
      <c r="J72" s="41"/>
      <c r="K72" s="42">
        <v>217</v>
      </c>
    </row>
    <row r="73" spans="1:11" ht="12.75">
      <c r="A73" s="39" t="s">
        <v>271</v>
      </c>
      <c r="B73" s="40">
        <v>213</v>
      </c>
      <c r="C73" s="41"/>
      <c r="D73" s="41"/>
      <c r="E73" s="41"/>
      <c r="F73" s="41"/>
      <c r="G73" s="41"/>
      <c r="H73" s="41"/>
      <c r="I73" s="41"/>
      <c r="J73" s="41"/>
      <c r="K73" s="42">
        <v>213</v>
      </c>
    </row>
    <row r="74" spans="1:11" ht="12.75">
      <c r="A74" s="39" t="s">
        <v>272</v>
      </c>
      <c r="B74" s="40"/>
      <c r="C74" s="41"/>
      <c r="D74" s="41"/>
      <c r="E74" s="41"/>
      <c r="F74" s="41"/>
      <c r="G74" s="41">
        <v>204</v>
      </c>
      <c r="H74" s="41"/>
      <c r="I74" s="41"/>
      <c r="J74" s="41"/>
      <c r="K74" s="42">
        <v>204</v>
      </c>
    </row>
    <row r="75" spans="1:11" ht="12.75">
      <c r="A75" s="39" t="s">
        <v>273</v>
      </c>
      <c r="B75" s="40"/>
      <c r="C75" s="41"/>
      <c r="D75" s="41"/>
      <c r="E75" s="41"/>
      <c r="F75" s="41">
        <v>193</v>
      </c>
      <c r="G75" s="41"/>
      <c r="H75" s="41"/>
      <c r="I75" s="41"/>
      <c r="J75" s="41"/>
      <c r="K75" s="42">
        <v>193</v>
      </c>
    </row>
    <row r="76" spans="1:11" ht="12.75">
      <c r="A76" s="39" t="s">
        <v>274</v>
      </c>
      <c r="B76" s="40"/>
      <c r="C76" s="41"/>
      <c r="D76" s="41"/>
      <c r="E76" s="41">
        <v>192</v>
      </c>
      <c r="F76" s="41"/>
      <c r="G76" s="41"/>
      <c r="H76" s="41"/>
      <c r="I76" s="41"/>
      <c r="J76" s="41"/>
      <c r="K76" s="42">
        <v>192</v>
      </c>
    </row>
    <row r="77" spans="1:11" ht="12.75">
      <c r="A77" s="39" t="s">
        <v>275</v>
      </c>
      <c r="B77" s="40"/>
      <c r="C77" s="41"/>
      <c r="D77" s="41">
        <v>190</v>
      </c>
      <c r="E77" s="41"/>
      <c r="F77" s="41"/>
      <c r="G77" s="41"/>
      <c r="H77" s="41"/>
      <c r="I77" s="41"/>
      <c r="J77" s="41"/>
      <c r="K77" s="42">
        <v>190</v>
      </c>
    </row>
    <row r="78" spans="1:11" ht="12.75">
      <c r="A78" s="39" t="s">
        <v>276</v>
      </c>
      <c r="B78" s="40"/>
      <c r="C78" s="41"/>
      <c r="D78" s="41"/>
      <c r="E78" s="41"/>
      <c r="F78" s="41"/>
      <c r="G78" s="41"/>
      <c r="H78" s="41"/>
      <c r="I78" s="41"/>
      <c r="J78" s="41">
        <v>178</v>
      </c>
      <c r="K78" s="42">
        <v>178</v>
      </c>
    </row>
    <row r="79" spans="1:11" ht="12.75">
      <c r="A79" s="39" t="s">
        <v>277</v>
      </c>
      <c r="B79" s="40">
        <v>120</v>
      </c>
      <c r="C79" s="41"/>
      <c r="D79" s="41"/>
      <c r="E79" s="41"/>
      <c r="F79" s="41"/>
      <c r="G79" s="41"/>
      <c r="H79" s="41"/>
      <c r="I79" s="41"/>
      <c r="J79" s="41"/>
      <c r="K79" s="42">
        <v>120</v>
      </c>
    </row>
    <row r="80" spans="1:11" ht="12.75">
      <c r="A80" s="39" t="s">
        <v>278</v>
      </c>
      <c r="B80" s="40"/>
      <c r="C80" s="41">
        <v>105</v>
      </c>
      <c r="D80" s="41"/>
      <c r="E80" s="41"/>
      <c r="F80" s="41"/>
      <c r="G80" s="41"/>
      <c r="H80" s="41"/>
      <c r="I80" s="41"/>
      <c r="J80" s="41"/>
      <c r="K80" s="42">
        <v>105</v>
      </c>
    </row>
    <row r="81" spans="1:11" ht="12.75">
      <c r="A81" s="43" t="s">
        <v>425</v>
      </c>
      <c r="B81" s="44">
        <v>5222</v>
      </c>
      <c r="C81" s="45">
        <v>760</v>
      </c>
      <c r="D81" s="45">
        <v>4558</v>
      </c>
      <c r="E81" s="45">
        <v>3724</v>
      </c>
      <c r="F81" s="45">
        <v>3888</v>
      </c>
      <c r="G81" s="45">
        <v>3278</v>
      </c>
      <c r="H81" s="45">
        <v>6229</v>
      </c>
      <c r="I81" s="45">
        <v>4941.9999999999991</v>
      </c>
      <c r="J81" s="45">
        <v>178</v>
      </c>
      <c r="K81" s="46">
        <v>32779</v>
      </c>
    </row>
    <row r="82" spans="1:11" ht="12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ht="12.7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ht="12.7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ht="12.7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ht="12.7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ht="12.7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ht="12.7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ht="12.7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ht="12.7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ht="12.7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ht="12.7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ht="12.7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ht="12.7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ht="12.7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ht="12.7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ht="12.7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ht="12.7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ht="12.7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ht="12.7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ht="12.7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ht="12.7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ht="12.7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ht="12.7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ht="12.7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ht="12.7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ht="12.7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ht="12.7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ht="12.7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ht="12.7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ht="12.7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ht="12.7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ht="12.7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ht="12.7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ht="12.7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ht="12.7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ht="12.7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ht="12.7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ht="12.7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ht="12.7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ht="12.7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ht="12.7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ht="12.7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ht="12.7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ht="12.7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ht="12.7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ht="12.7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ht="12.7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ht="12.7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ht="12.7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2.7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2.7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2.7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2.7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2.7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2.7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2.7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2.7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2.7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2.7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2.7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2.7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2.7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2.7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ht="12.7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ht="12.7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ht="12.7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2.7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2.7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2.7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2.7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2.7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2.7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2.7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2.7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2.7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2.7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2.7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2.7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2.7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2.7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2.7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2.7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2.7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2.7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2.7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2.7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2.7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2.7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2.7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2.7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2.7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2.7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2.7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2.7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2.7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2.7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2.7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2.7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2.7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2.7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2.7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2.7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2.7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2.7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2.7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2.7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2.7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2.7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2.7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2.7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2.7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2.7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2.7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2.7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2.7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2.7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2.7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2.7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2.7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2.7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2.7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2.7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2.7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2.7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2.7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2.7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2.7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2.7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2.7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2.7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2.7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2.7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2.7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2.7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2.7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2.7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2.7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2.7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2.7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2.7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2.7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2.7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2.7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2.7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2.7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2.7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2.7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2.7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2.7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2.7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2.7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2.7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2.7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2.7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2.7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2.7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2.7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2.7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2.7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2.7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2.7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2.7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2.7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2.7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2.7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2.7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2.7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2.7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2.7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2.7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2.7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2.7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2.7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2.7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2.7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2.7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2.7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2.7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2.7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2.7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2.7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2.7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2.7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2.7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2.7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2.7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2.7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2.7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2.7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2.7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2.7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2.7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2.7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2.7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2.7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2.7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2.7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2.7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2.7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2.7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2.7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2.7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2.7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2.7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2.7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2.7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2.7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2.7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2.7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2.7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2.7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2.7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2.7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2.7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2.7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2.7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2.7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2.7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2.7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2.7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2.7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2.7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2.7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2.7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2.7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2.7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2.7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2.7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2.7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2.7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2.7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2.7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2.7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2.7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2.7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2.7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2.7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2.7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2.7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2.7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2.7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2.7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2.7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2.7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2.7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2.7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2.7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2.7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2.7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2.7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2.7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2.7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2.7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2.7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2.7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2.7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2.7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2.7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2.7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2.7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2.7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2.7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2.7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2.7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2.7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2.7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2.7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2.7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2.7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2.7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2.7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2.7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2.7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2.7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2.7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2.7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2.7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2.7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2.7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2.7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2.7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2.7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2.7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2.7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ht="12.7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ht="12.7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ht="12.7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ht="12.7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ht="12.7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ht="12.7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ht="12.7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ht="12.7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ht="12.7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ht="12.7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ht="12.7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ht="12.7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ht="12.7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ht="12.7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ht="12.7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ht="12.7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ht="12.7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ht="12.7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ht="12.7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ht="12.7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ht="12.7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ht="12.7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ht="12.7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ht="12.7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ht="12.7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ht="12.7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ht="12.7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ht="12.7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ht="12.7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ht="12.7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ht="12.7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ht="12.7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ht="12.7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ht="12.7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ht="12.7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ht="12.7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ht="12.7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ht="12.7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ht="12.7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ht="12.7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ht="12.7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ht="12.7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ht="12.7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ht="12.7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ht="12.7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ht="12.7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ht="12.7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ht="12.7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ht="12.7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ht="12.7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ht="12.7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ht="12.7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ht="12.7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ht="12.7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ht="12.7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ht="12.7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ht="12.7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ht="12.7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ht="12.7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ht="12.7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ht="12.7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ht="12.7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ht="12.7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ht="12.7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ht="12.7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ht="12.7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ht="12.7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ht="12.7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ht="12.7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ht="12.7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ht="12.7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ht="12.7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ht="12.7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ht="12.7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ht="12.7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ht="12.7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ht="12.7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ht="12.7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ht="12.7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ht="12.7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ht="12.7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ht="12.7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ht="12.7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ht="12.75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ht="12.75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ht="12.75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ht="12.75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ht="12.75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ht="12.75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ht="12.75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ht="12.75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ht="12.75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ht="12.75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ht="12.75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ht="12.75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ht="12.75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ht="12.75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ht="12.75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ht="12.75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ht="12.75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ht="12.75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ht="12.75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ht="12.75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ht="12.75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ht="12.75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ht="12.75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ht="12.75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ht="12.75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ht="12.75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ht="12.75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ht="12.75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ht="12.75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ht="12.75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ht="12.75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ht="12.75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ht="12.75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ht="12.75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ht="12.75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ht="12.75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ht="12.75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ht="12.75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ht="12.75">
      <c r="B999" s="2"/>
      <c r="C999" s="2"/>
      <c r="D999" s="2"/>
      <c r="E999" s="2"/>
      <c r="F999" s="2"/>
      <c r="G999" s="2"/>
      <c r="H999" s="2"/>
      <c r="I999" s="2"/>
      <c r="J999" s="2"/>
      <c r="K999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U999"/>
  <sheetViews>
    <sheetView workbookViewId="0"/>
  </sheetViews>
  <sheetFormatPr defaultColWidth="12.5703125" defaultRowHeight="15.75" customHeight="1"/>
  <cols>
    <col min="1" max="1" width="18.5703125" customWidth="1"/>
    <col min="2" max="3" width="9.42578125" customWidth="1"/>
    <col min="4" max="4" width="10.5703125" customWidth="1"/>
    <col min="5" max="5" width="11" customWidth="1"/>
    <col min="6" max="9" width="10.42578125" customWidth="1"/>
    <col min="10" max="10" width="11.28515625" customWidth="1"/>
    <col min="11" max="11" width="8.85546875" customWidth="1"/>
  </cols>
  <sheetData>
    <row r="1" spans="1:21" ht="12.75">
      <c r="A1" s="47" t="s">
        <v>369</v>
      </c>
      <c r="B1" s="48" t="s">
        <v>384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/>
    <row r="3" spans="1:21" ht="12.75">
      <c r="A3" s="30" t="s">
        <v>279</v>
      </c>
      <c r="B3" s="30" t="s">
        <v>1</v>
      </c>
      <c r="C3" s="31"/>
      <c r="D3" s="31"/>
      <c r="E3" s="31"/>
      <c r="F3" s="32"/>
    </row>
    <row r="4" spans="1:21" ht="12.75">
      <c r="A4" s="30" t="s">
        <v>54</v>
      </c>
      <c r="B4" s="33" t="s">
        <v>5</v>
      </c>
      <c r="C4" s="34" t="s">
        <v>6</v>
      </c>
      <c r="D4" s="34" t="s">
        <v>10</v>
      </c>
      <c r="E4" s="34" t="s">
        <v>11</v>
      </c>
      <c r="F4" s="35" t="s">
        <v>425</v>
      </c>
    </row>
    <row r="5" spans="1:21" ht="12.75">
      <c r="A5" s="33" t="s">
        <v>280</v>
      </c>
      <c r="B5" s="36">
        <v>548</v>
      </c>
      <c r="C5" s="37">
        <v>274</v>
      </c>
      <c r="D5" s="37"/>
      <c r="E5" s="37"/>
      <c r="F5" s="38">
        <v>822</v>
      </c>
    </row>
    <row r="6" spans="1:21" ht="12.75">
      <c r="A6" s="39" t="s">
        <v>281</v>
      </c>
      <c r="B6" s="40"/>
      <c r="C6" s="41"/>
      <c r="D6" s="41">
        <v>487</v>
      </c>
      <c r="E6" s="41">
        <v>283.5</v>
      </c>
      <c r="F6" s="42">
        <v>770.5</v>
      </c>
    </row>
    <row r="7" spans="1:21" ht="18.75" customHeight="1">
      <c r="A7" s="39" t="s">
        <v>282</v>
      </c>
      <c r="B7" s="40"/>
      <c r="C7" s="41">
        <v>261</v>
      </c>
      <c r="D7" s="41">
        <v>490</v>
      </c>
      <c r="E7" s="41"/>
      <c r="F7" s="42">
        <v>751</v>
      </c>
    </row>
    <row r="8" spans="1:21" ht="12.75">
      <c r="A8" s="39" t="s">
        <v>283</v>
      </c>
      <c r="B8" s="40"/>
      <c r="C8" s="41">
        <v>260</v>
      </c>
      <c r="D8" s="41">
        <v>475</v>
      </c>
      <c r="E8" s="41"/>
      <c r="F8" s="42">
        <v>735</v>
      </c>
    </row>
    <row r="9" spans="1:21" ht="12.75">
      <c r="A9" s="39" t="s">
        <v>284</v>
      </c>
      <c r="B9" s="40"/>
      <c r="C9" s="41"/>
      <c r="D9" s="41">
        <v>454</v>
      </c>
      <c r="E9" s="41">
        <v>275.8</v>
      </c>
      <c r="F9" s="42">
        <v>729.8</v>
      </c>
    </row>
    <row r="10" spans="1:21" ht="12.75">
      <c r="A10" s="39" t="s">
        <v>285</v>
      </c>
      <c r="B10" s="40"/>
      <c r="C10" s="41">
        <v>190</v>
      </c>
      <c r="D10" s="41">
        <v>520</v>
      </c>
      <c r="E10" s="41"/>
      <c r="F10" s="42">
        <v>710</v>
      </c>
    </row>
    <row r="11" spans="1:21" ht="12.75">
      <c r="A11" s="39" t="s">
        <v>286</v>
      </c>
      <c r="B11" s="40"/>
      <c r="C11" s="41"/>
      <c r="D11" s="41">
        <v>343</v>
      </c>
      <c r="E11" s="41">
        <v>250</v>
      </c>
      <c r="F11" s="42">
        <v>593</v>
      </c>
    </row>
    <row r="12" spans="1:21" ht="12.75">
      <c r="A12" s="39" t="s">
        <v>287</v>
      </c>
      <c r="B12" s="40">
        <v>542</v>
      </c>
      <c r="C12" s="41"/>
      <c r="D12" s="41"/>
      <c r="E12" s="41"/>
      <c r="F12" s="42">
        <v>542</v>
      </c>
    </row>
    <row r="13" spans="1:21" ht="12.75">
      <c r="A13" s="39" t="s">
        <v>288</v>
      </c>
      <c r="B13" s="40"/>
      <c r="C13" s="41"/>
      <c r="D13" s="41">
        <v>540</v>
      </c>
      <c r="E13" s="41"/>
      <c r="F13" s="42">
        <v>540</v>
      </c>
    </row>
    <row r="14" spans="1:21" ht="12.75">
      <c r="A14" s="39" t="s">
        <v>289</v>
      </c>
      <c r="B14" s="40">
        <v>529</v>
      </c>
      <c r="C14" s="41"/>
      <c r="D14" s="41"/>
      <c r="E14" s="41"/>
      <c r="F14" s="42">
        <v>529</v>
      </c>
    </row>
    <row r="15" spans="1:21" ht="12.75">
      <c r="A15" s="39" t="s">
        <v>290</v>
      </c>
      <c r="B15" s="40"/>
      <c r="C15" s="41"/>
      <c r="D15" s="41">
        <v>523</v>
      </c>
      <c r="E15" s="41"/>
      <c r="F15" s="42">
        <v>523</v>
      </c>
    </row>
    <row r="16" spans="1:21" ht="12.75">
      <c r="A16" s="39" t="s">
        <v>291</v>
      </c>
      <c r="B16" s="40"/>
      <c r="C16" s="41"/>
      <c r="D16" s="41">
        <v>415</v>
      </c>
      <c r="E16" s="41"/>
      <c r="F16" s="42">
        <v>415</v>
      </c>
    </row>
    <row r="17" spans="1:6" ht="12.75">
      <c r="A17" s="39" t="s">
        <v>292</v>
      </c>
      <c r="B17" s="40"/>
      <c r="C17" s="41"/>
      <c r="D17" s="41"/>
      <c r="E17" s="41">
        <v>300.60000000000002</v>
      </c>
      <c r="F17" s="42">
        <v>300.60000000000002</v>
      </c>
    </row>
    <row r="18" spans="1:6" ht="12.75">
      <c r="A18" s="39" t="s">
        <v>293</v>
      </c>
      <c r="B18" s="40"/>
      <c r="C18" s="41"/>
      <c r="D18" s="41"/>
      <c r="E18" s="41">
        <v>295.5</v>
      </c>
      <c r="F18" s="42">
        <v>295.5</v>
      </c>
    </row>
    <row r="19" spans="1:6" ht="12.75">
      <c r="A19" s="39" t="s">
        <v>294</v>
      </c>
      <c r="B19" s="40"/>
      <c r="C19" s="41"/>
      <c r="D19" s="41"/>
      <c r="E19" s="41">
        <v>293.8</v>
      </c>
      <c r="F19" s="42">
        <v>293.8</v>
      </c>
    </row>
    <row r="20" spans="1:6" ht="12.75">
      <c r="A20" s="39" t="s">
        <v>295</v>
      </c>
      <c r="B20" s="40"/>
      <c r="C20" s="41"/>
      <c r="D20" s="41"/>
      <c r="E20" s="41">
        <v>289.39999999999998</v>
      </c>
      <c r="F20" s="42">
        <v>289.39999999999998</v>
      </c>
    </row>
    <row r="21" spans="1:6" ht="12.75">
      <c r="A21" s="39" t="s">
        <v>296</v>
      </c>
      <c r="B21" s="40"/>
      <c r="C21" s="41">
        <v>285</v>
      </c>
      <c r="D21" s="41"/>
      <c r="E21" s="41"/>
      <c r="F21" s="42">
        <v>285</v>
      </c>
    </row>
    <row r="22" spans="1:6" ht="12.75">
      <c r="A22" s="39" t="s">
        <v>297</v>
      </c>
      <c r="B22" s="40"/>
      <c r="C22" s="41"/>
      <c r="D22" s="41"/>
      <c r="E22" s="41">
        <v>284.10000000000002</v>
      </c>
      <c r="F22" s="42">
        <v>284.10000000000002</v>
      </c>
    </row>
    <row r="23" spans="1:6" ht="12.75">
      <c r="A23" s="39" t="s">
        <v>298</v>
      </c>
      <c r="B23" s="40"/>
      <c r="C23" s="41"/>
      <c r="D23" s="41"/>
      <c r="E23" s="41">
        <v>282.70000000000005</v>
      </c>
      <c r="F23" s="42">
        <v>282.70000000000005</v>
      </c>
    </row>
    <row r="24" spans="1:6" ht="12.75">
      <c r="A24" s="39" t="s">
        <v>299</v>
      </c>
      <c r="B24" s="40"/>
      <c r="C24" s="41">
        <v>279</v>
      </c>
      <c r="D24" s="41"/>
      <c r="E24" s="41"/>
      <c r="F24" s="42">
        <v>279</v>
      </c>
    </row>
    <row r="25" spans="1:6" ht="12.75">
      <c r="A25" s="39" t="s">
        <v>300</v>
      </c>
      <c r="B25" s="40"/>
      <c r="C25" s="41"/>
      <c r="D25" s="41"/>
      <c r="E25" s="41">
        <v>274.2</v>
      </c>
      <c r="F25" s="42">
        <v>274.2</v>
      </c>
    </row>
    <row r="26" spans="1:6" ht="12.75">
      <c r="A26" s="39" t="s">
        <v>301</v>
      </c>
      <c r="B26" s="40"/>
      <c r="C26" s="41">
        <v>269</v>
      </c>
      <c r="D26" s="41"/>
      <c r="E26" s="41"/>
      <c r="F26" s="42">
        <v>269</v>
      </c>
    </row>
    <row r="27" spans="1:6" ht="12.75">
      <c r="A27" s="39" t="s">
        <v>302</v>
      </c>
      <c r="B27" s="40"/>
      <c r="C27" s="41">
        <v>261</v>
      </c>
      <c r="D27" s="41"/>
      <c r="E27" s="41"/>
      <c r="F27" s="42">
        <v>261</v>
      </c>
    </row>
    <row r="28" spans="1:6" ht="12.75">
      <c r="A28" s="39" t="s">
        <v>303</v>
      </c>
      <c r="B28" s="40"/>
      <c r="C28" s="41"/>
      <c r="D28" s="41"/>
      <c r="E28" s="41">
        <v>259.89999999999998</v>
      </c>
      <c r="F28" s="42">
        <v>259.89999999999998</v>
      </c>
    </row>
    <row r="29" spans="1:6" ht="12.75">
      <c r="A29" s="39" t="s">
        <v>304</v>
      </c>
      <c r="B29" s="40"/>
      <c r="C29" s="41">
        <v>252</v>
      </c>
      <c r="D29" s="41"/>
      <c r="E29" s="41"/>
      <c r="F29" s="42">
        <v>252</v>
      </c>
    </row>
    <row r="30" spans="1:6" ht="12.75">
      <c r="A30" s="39" t="s">
        <v>305</v>
      </c>
      <c r="B30" s="40"/>
      <c r="C30" s="41">
        <v>239</v>
      </c>
      <c r="D30" s="41"/>
      <c r="E30" s="41"/>
      <c r="F30" s="42">
        <v>239</v>
      </c>
    </row>
    <row r="31" spans="1:6" ht="12.75">
      <c r="A31" s="39" t="s">
        <v>306</v>
      </c>
      <c r="B31" s="40"/>
      <c r="C31" s="41"/>
      <c r="D31" s="41"/>
      <c r="E31" s="41">
        <v>233.6</v>
      </c>
      <c r="F31" s="42">
        <v>233.6</v>
      </c>
    </row>
    <row r="32" spans="1:6" ht="12.75">
      <c r="A32" s="39" t="s">
        <v>307</v>
      </c>
      <c r="B32" s="40"/>
      <c r="C32" s="41">
        <v>222</v>
      </c>
      <c r="D32" s="41"/>
      <c r="E32" s="41"/>
      <c r="F32" s="42">
        <v>222</v>
      </c>
    </row>
    <row r="33" spans="1:6" ht="12.75">
      <c r="A33" s="39" t="s">
        <v>308</v>
      </c>
      <c r="B33" s="40"/>
      <c r="C33" s="41">
        <v>153</v>
      </c>
      <c r="D33" s="41"/>
      <c r="E33" s="41"/>
      <c r="F33" s="42">
        <v>153</v>
      </c>
    </row>
    <row r="34" spans="1:6" ht="12.75">
      <c r="A34" s="43" t="s">
        <v>425</v>
      </c>
      <c r="B34" s="44">
        <v>1619</v>
      </c>
      <c r="C34" s="45">
        <v>2945</v>
      </c>
      <c r="D34" s="45">
        <v>4247</v>
      </c>
      <c r="E34" s="45">
        <v>3323.1</v>
      </c>
      <c r="F34" s="46">
        <v>12134.1</v>
      </c>
    </row>
    <row r="35" spans="1:6" ht="12.75">
      <c r="B35" s="2"/>
      <c r="C35" s="2"/>
      <c r="D35" s="2"/>
      <c r="E35" s="2"/>
    </row>
    <row r="36" spans="1:6" ht="12.75">
      <c r="B36" s="2"/>
      <c r="C36" s="2"/>
      <c r="D36" s="2"/>
      <c r="E36" s="2"/>
    </row>
    <row r="37" spans="1:6" ht="12.75">
      <c r="B37" s="2"/>
      <c r="C37" s="2"/>
      <c r="D37" s="2"/>
      <c r="E37" s="2"/>
    </row>
    <row r="38" spans="1:6" ht="12.75">
      <c r="B38" s="2"/>
      <c r="C38" s="2"/>
      <c r="D38" s="2"/>
      <c r="E38" s="2"/>
    </row>
    <row r="39" spans="1:6" ht="12.75">
      <c r="B39" s="2"/>
      <c r="C39" s="2"/>
      <c r="D39" s="2"/>
      <c r="E39" s="2"/>
    </row>
    <row r="40" spans="1:6" ht="12.75">
      <c r="B40" s="2"/>
      <c r="C40" s="2"/>
      <c r="D40" s="2"/>
      <c r="E40" s="2"/>
    </row>
    <row r="41" spans="1:6" ht="12.75">
      <c r="B41" s="2"/>
      <c r="C41" s="2"/>
      <c r="D41" s="2"/>
      <c r="E41" s="2"/>
    </row>
    <row r="42" spans="1:6" ht="12.75">
      <c r="B42" s="2"/>
      <c r="C42" s="2"/>
      <c r="D42" s="2"/>
      <c r="E42" s="2"/>
    </row>
    <row r="43" spans="1:6" ht="12.75">
      <c r="B43" s="2"/>
      <c r="C43" s="2"/>
      <c r="D43" s="2"/>
      <c r="E43" s="2"/>
    </row>
    <row r="44" spans="1:6" ht="12.75">
      <c r="B44" s="2"/>
      <c r="C44" s="2"/>
      <c r="D44" s="2"/>
      <c r="E44" s="2"/>
    </row>
    <row r="45" spans="1:6" ht="12.75">
      <c r="B45" s="2"/>
      <c r="C45" s="2"/>
      <c r="D45" s="2"/>
      <c r="E45" s="2"/>
    </row>
    <row r="46" spans="1:6" ht="12.75">
      <c r="B46" s="2"/>
      <c r="C46" s="2"/>
      <c r="D46" s="2"/>
      <c r="E46" s="2"/>
    </row>
    <row r="47" spans="1:6" ht="12.75">
      <c r="B47" s="2"/>
      <c r="C47" s="2"/>
      <c r="D47" s="2"/>
      <c r="E47" s="2"/>
    </row>
    <row r="48" spans="1:6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5" ht="12.75">
      <c r="B153" s="2"/>
      <c r="C153" s="2"/>
      <c r="D153" s="2"/>
      <c r="E153" s="2"/>
    </row>
    <row r="154" spans="2:5" ht="12.75">
      <c r="B154" s="2"/>
      <c r="C154" s="2"/>
      <c r="D154" s="2"/>
      <c r="E154" s="2"/>
    </row>
    <row r="155" spans="2:5" ht="12.75">
      <c r="B155" s="2"/>
      <c r="C155" s="2"/>
      <c r="D155" s="2"/>
      <c r="E155" s="2"/>
    </row>
    <row r="156" spans="2:5" ht="12.75">
      <c r="B156" s="2"/>
      <c r="C156" s="2"/>
      <c r="D156" s="2"/>
      <c r="E156" s="2"/>
    </row>
    <row r="157" spans="2:5" ht="12.75">
      <c r="B157" s="2"/>
      <c r="C157" s="2"/>
      <c r="D157" s="2"/>
      <c r="E157" s="2"/>
    </row>
    <row r="158" spans="2:5" ht="12.75">
      <c r="B158" s="2"/>
      <c r="C158" s="2"/>
      <c r="D158" s="2"/>
      <c r="E158" s="2"/>
    </row>
    <row r="159" spans="2:5" ht="12.75">
      <c r="B159" s="2"/>
      <c r="C159" s="2"/>
      <c r="D159" s="2"/>
      <c r="E159" s="2"/>
    </row>
    <row r="160" spans="2:5" ht="12.75">
      <c r="B160" s="2"/>
      <c r="C160" s="2"/>
      <c r="D160" s="2"/>
      <c r="E160" s="2"/>
    </row>
    <row r="161" spans="2:5" ht="12.75">
      <c r="B161" s="2"/>
      <c r="C161" s="2"/>
      <c r="D161" s="2"/>
      <c r="E161" s="2"/>
    </row>
    <row r="162" spans="2:5" ht="12.75">
      <c r="B162" s="2"/>
      <c r="C162" s="2"/>
      <c r="D162" s="2"/>
      <c r="E162" s="2"/>
    </row>
    <row r="163" spans="2:5" ht="12.75">
      <c r="B163" s="2"/>
      <c r="C163" s="2"/>
      <c r="D163" s="2"/>
      <c r="E163" s="2"/>
    </row>
    <row r="164" spans="2:5" ht="12.75">
      <c r="B164" s="2"/>
      <c r="C164" s="2"/>
      <c r="D164" s="2"/>
      <c r="E164" s="2"/>
    </row>
    <row r="165" spans="2:5" ht="12.75">
      <c r="B165" s="2"/>
      <c r="C165" s="2"/>
      <c r="D165" s="2"/>
      <c r="E165" s="2"/>
    </row>
    <row r="166" spans="2:5" ht="12.75">
      <c r="B166" s="2"/>
      <c r="C166" s="2"/>
      <c r="D166" s="2"/>
      <c r="E166" s="2"/>
    </row>
    <row r="167" spans="2:5" ht="12.75">
      <c r="B167" s="2"/>
      <c r="C167" s="2"/>
      <c r="D167" s="2"/>
      <c r="E167" s="2"/>
    </row>
    <row r="168" spans="2:5" ht="12.75">
      <c r="B168" s="2"/>
      <c r="C168" s="2"/>
      <c r="D168" s="2"/>
      <c r="E168" s="2"/>
    </row>
    <row r="169" spans="2:5" ht="12.75">
      <c r="B169" s="2"/>
      <c r="C169" s="2"/>
      <c r="D169" s="2"/>
      <c r="E169" s="2"/>
    </row>
    <row r="170" spans="2:5" ht="12.75">
      <c r="B170" s="2"/>
      <c r="C170" s="2"/>
      <c r="D170" s="2"/>
      <c r="E170" s="2"/>
    </row>
    <row r="171" spans="2:5" ht="12.75">
      <c r="B171" s="2"/>
      <c r="C171" s="2"/>
      <c r="D171" s="2"/>
      <c r="E171" s="2"/>
    </row>
    <row r="172" spans="2:5" ht="12.75">
      <c r="B172" s="2"/>
      <c r="C172" s="2"/>
      <c r="D172" s="2"/>
      <c r="E172" s="2"/>
    </row>
    <row r="173" spans="2:5" ht="12.75">
      <c r="B173" s="2"/>
      <c r="C173" s="2"/>
      <c r="D173" s="2"/>
      <c r="E173" s="2"/>
    </row>
    <row r="174" spans="2:5" ht="12.75">
      <c r="B174" s="2"/>
      <c r="C174" s="2"/>
      <c r="D174" s="2"/>
      <c r="E174" s="2"/>
    </row>
    <row r="175" spans="2:5" ht="12.75">
      <c r="B175" s="2"/>
      <c r="C175" s="2"/>
      <c r="D175" s="2"/>
      <c r="E175" s="2"/>
    </row>
    <row r="176" spans="2:5" ht="12.75">
      <c r="B176" s="2"/>
      <c r="C176" s="2"/>
      <c r="D176" s="2"/>
      <c r="E176" s="2"/>
    </row>
    <row r="177" spans="2:5" ht="12.75">
      <c r="B177" s="2"/>
      <c r="C177" s="2"/>
      <c r="D177" s="2"/>
      <c r="E177" s="2"/>
    </row>
    <row r="178" spans="2:5" ht="12.75">
      <c r="B178" s="2"/>
      <c r="C178" s="2"/>
      <c r="D178" s="2"/>
      <c r="E178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  <row r="204" spans="2:5" ht="12.75">
      <c r="B204" s="2"/>
      <c r="C204" s="2"/>
      <c r="D204" s="2"/>
      <c r="E204" s="2"/>
    </row>
    <row r="205" spans="2:5" ht="12.75">
      <c r="B205" s="2"/>
      <c r="C205" s="2"/>
      <c r="D205" s="2"/>
      <c r="E205" s="2"/>
    </row>
    <row r="206" spans="2:5" ht="12.75">
      <c r="B206" s="2"/>
      <c r="C206" s="2"/>
      <c r="D206" s="2"/>
      <c r="E206" s="2"/>
    </row>
    <row r="207" spans="2:5" ht="12.75">
      <c r="B207" s="2"/>
      <c r="C207" s="2"/>
      <c r="D207" s="2"/>
      <c r="E207" s="2"/>
    </row>
    <row r="208" spans="2:5" ht="12.75">
      <c r="B208" s="2"/>
      <c r="C208" s="2"/>
      <c r="D208" s="2"/>
      <c r="E208" s="2"/>
    </row>
    <row r="209" spans="2:5" ht="12.75">
      <c r="B209" s="2"/>
      <c r="C209" s="2"/>
      <c r="D209" s="2"/>
      <c r="E209" s="2"/>
    </row>
    <row r="210" spans="2:5" ht="12.75">
      <c r="B210" s="2"/>
      <c r="C210" s="2"/>
      <c r="D210" s="2"/>
      <c r="E210" s="2"/>
    </row>
    <row r="211" spans="2:5" ht="12.75">
      <c r="B211" s="2"/>
      <c r="C211" s="2"/>
      <c r="D211" s="2"/>
      <c r="E211" s="2"/>
    </row>
    <row r="212" spans="2:5" ht="12.75">
      <c r="B212" s="2"/>
      <c r="C212" s="2"/>
      <c r="D212" s="2"/>
      <c r="E212" s="2"/>
    </row>
    <row r="213" spans="2:5" ht="12.75">
      <c r="B213" s="2"/>
      <c r="C213" s="2"/>
      <c r="D213" s="2"/>
      <c r="E213" s="2"/>
    </row>
    <row r="214" spans="2:5" ht="12.75">
      <c r="B214" s="2"/>
      <c r="C214" s="2"/>
      <c r="D214" s="2"/>
      <c r="E214" s="2"/>
    </row>
    <row r="215" spans="2:5" ht="12.75">
      <c r="B215" s="2"/>
      <c r="C215" s="2"/>
      <c r="D215" s="2"/>
      <c r="E215" s="2"/>
    </row>
    <row r="216" spans="2:5" ht="12.75">
      <c r="B216" s="2"/>
      <c r="C216" s="2"/>
      <c r="D216" s="2"/>
      <c r="E216" s="2"/>
    </row>
    <row r="217" spans="2:5" ht="12.75">
      <c r="B217" s="2"/>
      <c r="C217" s="2"/>
      <c r="D217" s="2"/>
      <c r="E217" s="2"/>
    </row>
    <row r="218" spans="2:5" ht="12.75">
      <c r="B218" s="2"/>
      <c r="C218" s="2"/>
      <c r="D218" s="2"/>
      <c r="E218" s="2"/>
    </row>
    <row r="219" spans="2:5" ht="12.75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2.75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  <row r="227" spans="2:5" ht="12.75">
      <c r="B227" s="2"/>
      <c r="C227" s="2"/>
      <c r="D227" s="2"/>
      <c r="E227" s="2"/>
    </row>
    <row r="228" spans="2:5" ht="12.75">
      <c r="B228" s="2"/>
      <c r="C228" s="2"/>
      <c r="D228" s="2"/>
      <c r="E228" s="2"/>
    </row>
    <row r="229" spans="2:5" ht="12.75">
      <c r="B229" s="2"/>
      <c r="C229" s="2"/>
      <c r="D229" s="2"/>
      <c r="E229" s="2"/>
    </row>
    <row r="230" spans="2:5" ht="12.75">
      <c r="B230" s="2"/>
      <c r="C230" s="2"/>
      <c r="D230" s="2"/>
      <c r="E230" s="2"/>
    </row>
    <row r="231" spans="2:5" ht="12.75">
      <c r="B231" s="2"/>
      <c r="C231" s="2"/>
      <c r="D231" s="2"/>
      <c r="E231" s="2"/>
    </row>
    <row r="232" spans="2:5" ht="12.75">
      <c r="B232" s="2"/>
      <c r="C232" s="2"/>
      <c r="D232" s="2"/>
      <c r="E232" s="2"/>
    </row>
    <row r="233" spans="2:5" ht="12.75">
      <c r="B233" s="2"/>
      <c r="C233" s="2"/>
      <c r="D233" s="2"/>
      <c r="E233" s="2"/>
    </row>
    <row r="234" spans="2:5" ht="12.75">
      <c r="B234" s="2"/>
      <c r="C234" s="2"/>
      <c r="D234" s="2"/>
      <c r="E234" s="2"/>
    </row>
    <row r="235" spans="2:5" ht="12.75">
      <c r="B235" s="2"/>
      <c r="C235" s="2"/>
      <c r="D235" s="2"/>
      <c r="E235" s="2"/>
    </row>
    <row r="236" spans="2:5" ht="12.75">
      <c r="B236" s="2"/>
      <c r="C236" s="2"/>
      <c r="D236" s="2"/>
      <c r="E236" s="2"/>
    </row>
    <row r="237" spans="2:5" ht="12.75">
      <c r="B237" s="2"/>
      <c r="C237" s="2"/>
      <c r="D237" s="2"/>
      <c r="E237" s="2"/>
    </row>
    <row r="238" spans="2:5" ht="12.75">
      <c r="B238" s="2"/>
      <c r="C238" s="2"/>
      <c r="D238" s="2"/>
      <c r="E238" s="2"/>
    </row>
    <row r="239" spans="2:5" ht="12.75">
      <c r="B239" s="2"/>
      <c r="C239" s="2"/>
      <c r="D239" s="2"/>
      <c r="E239" s="2"/>
    </row>
    <row r="240" spans="2:5" ht="12.75">
      <c r="B240" s="2"/>
      <c r="C240" s="2"/>
      <c r="D240" s="2"/>
      <c r="E240" s="2"/>
    </row>
    <row r="241" spans="2:5" ht="12.75">
      <c r="B241" s="2"/>
      <c r="C241" s="2"/>
      <c r="D241" s="2"/>
      <c r="E241" s="2"/>
    </row>
    <row r="242" spans="2:5" ht="12.75">
      <c r="B242" s="2"/>
      <c r="C242" s="2"/>
      <c r="D242" s="2"/>
      <c r="E242" s="2"/>
    </row>
    <row r="243" spans="2:5" ht="12.75">
      <c r="B243" s="2"/>
      <c r="C243" s="2"/>
      <c r="D243" s="2"/>
      <c r="E243" s="2"/>
    </row>
    <row r="244" spans="2:5" ht="12.75">
      <c r="B244" s="2"/>
      <c r="C244" s="2"/>
      <c r="D244" s="2"/>
      <c r="E244" s="2"/>
    </row>
    <row r="245" spans="2:5" ht="12.75">
      <c r="B245" s="2"/>
      <c r="C245" s="2"/>
      <c r="D245" s="2"/>
      <c r="E245" s="2"/>
    </row>
    <row r="246" spans="2:5" ht="12.75">
      <c r="B246" s="2"/>
      <c r="C246" s="2"/>
      <c r="D246" s="2"/>
      <c r="E246" s="2"/>
    </row>
    <row r="247" spans="2:5" ht="12.75">
      <c r="B247" s="2"/>
      <c r="C247" s="2"/>
      <c r="D247" s="2"/>
      <c r="E247" s="2"/>
    </row>
    <row r="248" spans="2:5" ht="12.75">
      <c r="B248" s="2"/>
      <c r="C248" s="2"/>
      <c r="D248" s="2"/>
      <c r="E248" s="2"/>
    </row>
    <row r="249" spans="2:5" ht="12.75">
      <c r="B249" s="2"/>
      <c r="C249" s="2"/>
      <c r="D249" s="2"/>
      <c r="E249" s="2"/>
    </row>
    <row r="250" spans="2:5" ht="12.75"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5" ht="12.75">
      <c r="B252" s="2"/>
      <c r="C252" s="2"/>
      <c r="D252" s="2"/>
      <c r="E252" s="2"/>
    </row>
    <row r="253" spans="2:5" ht="12.75">
      <c r="B253" s="2"/>
      <c r="C253" s="2"/>
      <c r="D253" s="2"/>
      <c r="E253" s="2"/>
    </row>
    <row r="254" spans="2:5" ht="12.75"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5" ht="12.75">
      <c r="B256" s="2"/>
      <c r="C256" s="2"/>
      <c r="D256" s="2"/>
      <c r="E256" s="2"/>
    </row>
    <row r="257" spans="2:5" ht="12.75">
      <c r="B257" s="2"/>
      <c r="C257" s="2"/>
      <c r="D257" s="2"/>
      <c r="E257" s="2"/>
    </row>
    <row r="258" spans="2:5" ht="12.75">
      <c r="B258" s="2"/>
      <c r="C258" s="2"/>
      <c r="D258" s="2"/>
      <c r="E258" s="2"/>
    </row>
    <row r="259" spans="2:5" ht="12.75">
      <c r="B259" s="2"/>
      <c r="C259" s="2"/>
      <c r="D259" s="2"/>
      <c r="E259" s="2"/>
    </row>
    <row r="260" spans="2:5" ht="12.75">
      <c r="B260" s="2"/>
      <c r="C260" s="2"/>
      <c r="D260" s="2"/>
      <c r="E260" s="2"/>
    </row>
    <row r="261" spans="2:5" ht="12.75">
      <c r="B261" s="2"/>
      <c r="C261" s="2"/>
      <c r="D261" s="2"/>
      <c r="E261" s="2"/>
    </row>
    <row r="262" spans="2:5" ht="12.75">
      <c r="B262" s="2"/>
      <c r="C262" s="2"/>
      <c r="D262" s="2"/>
      <c r="E262" s="2"/>
    </row>
    <row r="263" spans="2:5" ht="12.75">
      <c r="B263" s="2"/>
      <c r="C263" s="2"/>
      <c r="D263" s="2"/>
      <c r="E263" s="2"/>
    </row>
    <row r="264" spans="2:5" ht="12.75">
      <c r="B264" s="2"/>
      <c r="C264" s="2"/>
      <c r="D264" s="2"/>
      <c r="E264" s="2"/>
    </row>
    <row r="265" spans="2:5" ht="12.75">
      <c r="B265" s="2"/>
      <c r="C265" s="2"/>
      <c r="D265" s="2"/>
      <c r="E265" s="2"/>
    </row>
    <row r="266" spans="2:5" ht="12.75">
      <c r="B266" s="2"/>
      <c r="C266" s="2"/>
      <c r="D266" s="2"/>
      <c r="E266" s="2"/>
    </row>
    <row r="267" spans="2:5" ht="12.75">
      <c r="B267" s="2"/>
      <c r="C267" s="2"/>
      <c r="D267" s="2"/>
      <c r="E267" s="2"/>
    </row>
    <row r="268" spans="2:5" ht="12.75">
      <c r="B268" s="2"/>
      <c r="C268" s="2"/>
      <c r="D268" s="2"/>
      <c r="E268" s="2"/>
    </row>
    <row r="269" spans="2:5" ht="12.75">
      <c r="B269" s="2"/>
      <c r="C269" s="2"/>
      <c r="D269" s="2"/>
      <c r="E269" s="2"/>
    </row>
    <row r="270" spans="2:5" ht="12.75">
      <c r="B270" s="2"/>
      <c r="C270" s="2"/>
      <c r="D270" s="2"/>
      <c r="E270" s="2"/>
    </row>
    <row r="271" spans="2:5" ht="12.75">
      <c r="B271" s="2"/>
      <c r="C271" s="2"/>
      <c r="D271" s="2"/>
      <c r="E271" s="2"/>
    </row>
    <row r="272" spans="2:5" ht="12.75">
      <c r="B272" s="2"/>
      <c r="C272" s="2"/>
      <c r="D272" s="2"/>
      <c r="E272" s="2"/>
    </row>
    <row r="273" spans="2:5" ht="12.75">
      <c r="B273" s="2"/>
      <c r="C273" s="2"/>
      <c r="D273" s="2"/>
      <c r="E273" s="2"/>
    </row>
    <row r="274" spans="2:5" ht="12.75">
      <c r="B274" s="2"/>
      <c r="C274" s="2"/>
      <c r="D274" s="2"/>
      <c r="E274" s="2"/>
    </row>
    <row r="275" spans="2:5" ht="12.75">
      <c r="B275" s="2"/>
      <c r="C275" s="2"/>
      <c r="D275" s="2"/>
      <c r="E275" s="2"/>
    </row>
    <row r="276" spans="2:5" ht="12.75"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5" ht="12.75">
      <c r="B278" s="2"/>
      <c r="C278" s="2"/>
      <c r="D278" s="2"/>
      <c r="E278" s="2"/>
    </row>
    <row r="279" spans="2:5" ht="12.75">
      <c r="B279" s="2"/>
      <c r="C279" s="2"/>
      <c r="D279" s="2"/>
      <c r="E279" s="2"/>
    </row>
    <row r="280" spans="2:5" ht="12.75">
      <c r="B280" s="2"/>
      <c r="C280" s="2"/>
      <c r="D280" s="2"/>
      <c r="E280" s="2"/>
    </row>
    <row r="281" spans="2:5" ht="12.75"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5" ht="12.75">
      <c r="B284" s="2"/>
      <c r="C284" s="2"/>
      <c r="D284" s="2"/>
      <c r="E284" s="2"/>
    </row>
    <row r="285" spans="2:5" ht="12.75">
      <c r="B285" s="2"/>
      <c r="C285" s="2"/>
      <c r="D285" s="2"/>
      <c r="E285" s="2"/>
    </row>
    <row r="286" spans="2:5" ht="12.75">
      <c r="B286" s="2"/>
      <c r="C286" s="2"/>
      <c r="D286" s="2"/>
      <c r="E286" s="2"/>
    </row>
    <row r="287" spans="2:5" ht="12.75">
      <c r="B287" s="2"/>
      <c r="C287" s="2"/>
      <c r="D287" s="2"/>
      <c r="E287" s="2"/>
    </row>
    <row r="288" spans="2:5" ht="12.75">
      <c r="B288" s="2"/>
      <c r="C288" s="2"/>
      <c r="D288" s="2"/>
      <c r="E288" s="2"/>
    </row>
    <row r="289" spans="2:5" ht="12.75">
      <c r="B289" s="2"/>
      <c r="C289" s="2"/>
      <c r="D289" s="2"/>
      <c r="E289" s="2"/>
    </row>
    <row r="290" spans="2:5" ht="12.75">
      <c r="B290" s="2"/>
      <c r="C290" s="2"/>
      <c r="D290" s="2"/>
      <c r="E290" s="2"/>
    </row>
    <row r="291" spans="2:5" ht="12.75">
      <c r="B291" s="2"/>
      <c r="C291" s="2"/>
      <c r="D291" s="2"/>
      <c r="E291" s="2"/>
    </row>
    <row r="292" spans="2:5" ht="12.75">
      <c r="B292" s="2"/>
      <c r="C292" s="2"/>
      <c r="D292" s="2"/>
      <c r="E292" s="2"/>
    </row>
    <row r="293" spans="2:5" ht="12.75">
      <c r="B293" s="2"/>
      <c r="C293" s="2"/>
      <c r="D293" s="2"/>
      <c r="E293" s="2"/>
    </row>
    <row r="294" spans="2:5" ht="12.75">
      <c r="B294" s="2"/>
      <c r="C294" s="2"/>
      <c r="D294" s="2"/>
      <c r="E294" s="2"/>
    </row>
    <row r="295" spans="2:5" ht="12.75">
      <c r="B295" s="2"/>
      <c r="C295" s="2"/>
      <c r="D295" s="2"/>
      <c r="E295" s="2"/>
    </row>
    <row r="296" spans="2:5" ht="12.75">
      <c r="B296" s="2"/>
      <c r="C296" s="2"/>
      <c r="D296" s="2"/>
      <c r="E296" s="2"/>
    </row>
    <row r="297" spans="2:5" ht="12.75">
      <c r="B297" s="2"/>
      <c r="C297" s="2"/>
      <c r="D297" s="2"/>
      <c r="E297" s="2"/>
    </row>
    <row r="298" spans="2:5" ht="12.75">
      <c r="B298" s="2"/>
      <c r="C298" s="2"/>
      <c r="D298" s="2"/>
      <c r="E298" s="2"/>
    </row>
    <row r="299" spans="2:5" ht="12.75">
      <c r="B299" s="2"/>
      <c r="C299" s="2"/>
      <c r="D299" s="2"/>
      <c r="E299" s="2"/>
    </row>
    <row r="300" spans="2:5" ht="12.75">
      <c r="B300" s="2"/>
      <c r="C300" s="2"/>
      <c r="D300" s="2"/>
      <c r="E300" s="2"/>
    </row>
    <row r="301" spans="2:5" ht="12.75">
      <c r="B301" s="2"/>
      <c r="C301" s="2"/>
      <c r="D301" s="2"/>
      <c r="E301" s="2"/>
    </row>
    <row r="302" spans="2:5" ht="12.75">
      <c r="B302" s="2"/>
      <c r="C302" s="2"/>
      <c r="D302" s="2"/>
      <c r="E302" s="2"/>
    </row>
    <row r="303" spans="2:5" ht="12.75">
      <c r="B303" s="2"/>
      <c r="C303" s="2"/>
      <c r="D303" s="2"/>
      <c r="E303" s="2"/>
    </row>
    <row r="304" spans="2:5" ht="12.75">
      <c r="B304" s="2"/>
      <c r="C304" s="2"/>
      <c r="D304" s="2"/>
      <c r="E304" s="2"/>
    </row>
    <row r="305" spans="2:5" ht="12.75">
      <c r="B305" s="2"/>
      <c r="C305" s="2"/>
      <c r="D305" s="2"/>
      <c r="E305" s="2"/>
    </row>
    <row r="306" spans="2:5" ht="12.75">
      <c r="B306" s="2"/>
      <c r="C306" s="2"/>
      <c r="D306" s="2"/>
      <c r="E306" s="2"/>
    </row>
    <row r="307" spans="2:5" ht="12.75"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5" ht="12.75">
      <c r="B309" s="2"/>
      <c r="C309" s="2"/>
      <c r="D309" s="2"/>
      <c r="E309" s="2"/>
    </row>
    <row r="310" spans="2:5" ht="12.75">
      <c r="B310" s="2"/>
      <c r="C310" s="2"/>
      <c r="D310" s="2"/>
      <c r="E310" s="2"/>
    </row>
    <row r="311" spans="2:5" ht="12.75">
      <c r="B311" s="2"/>
      <c r="C311" s="2"/>
      <c r="D311" s="2"/>
      <c r="E311" s="2"/>
    </row>
    <row r="312" spans="2:5" ht="12.75">
      <c r="B312" s="2"/>
      <c r="C312" s="2"/>
      <c r="D312" s="2"/>
      <c r="E312" s="2"/>
    </row>
    <row r="313" spans="2:5" ht="12.75"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5" ht="12.75">
      <c r="B315" s="2"/>
      <c r="C315" s="2"/>
      <c r="D315" s="2"/>
      <c r="E315" s="2"/>
    </row>
    <row r="316" spans="2:5" ht="12.75">
      <c r="B316" s="2"/>
      <c r="C316" s="2"/>
      <c r="D316" s="2"/>
      <c r="E316" s="2"/>
    </row>
    <row r="317" spans="2:5" ht="12.75">
      <c r="B317" s="2"/>
      <c r="C317" s="2"/>
      <c r="D317" s="2"/>
      <c r="E317" s="2"/>
    </row>
    <row r="318" spans="2:5" ht="12.75">
      <c r="B318" s="2"/>
      <c r="C318" s="2"/>
      <c r="D318" s="2"/>
      <c r="E318" s="2"/>
    </row>
    <row r="319" spans="2:5" ht="12.75">
      <c r="B319" s="2"/>
      <c r="C319" s="2"/>
      <c r="D319" s="2"/>
      <c r="E319" s="2"/>
    </row>
    <row r="320" spans="2:5" ht="12.75">
      <c r="B320" s="2"/>
      <c r="C320" s="2"/>
      <c r="D320" s="2"/>
      <c r="E320" s="2"/>
    </row>
    <row r="321" spans="2:5" ht="12.75">
      <c r="B321" s="2"/>
      <c r="C321" s="2"/>
      <c r="D321" s="2"/>
      <c r="E321" s="2"/>
    </row>
    <row r="322" spans="2:5" ht="12.75">
      <c r="B322" s="2"/>
      <c r="C322" s="2"/>
      <c r="D322" s="2"/>
      <c r="E322" s="2"/>
    </row>
    <row r="323" spans="2:5" ht="12.75">
      <c r="B323" s="2"/>
      <c r="C323" s="2"/>
      <c r="D323" s="2"/>
      <c r="E323" s="2"/>
    </row>
    <row r="324" spans="2:5" ht="12.75">
      <c r="B324" s="2"/>
      <c r="C324" s="2"/>
      <c r="D324" s="2"/>
      <c r="E324" s="2"/>
    </row>
    <row r="325" spans="2:5" ht="12.75">
      <c r="B325" s="2"/>
      <c r="C325" s="2"/>
      <c r="D325" s="2"/>
      <c r="E325" s="2"/>
    </row>
    <row r="326" spans="2:5" ht="12.75">
      <c r="B326" s="2"/>
      <c r="C326" s="2"/>
      <c r="D326" s="2"/>
      <c r="E326" s="2"/>
    </row>
    <row r="327" spans="2:5" ht="12.75">
      <c r="B327" s="2"/>
      <c r="C327" s="2"/>
      <c r="D327" s="2"/>
      <c r="E327" s="2"/>
    </row>
    <row r="328" spans="2:5" ht="12.75">
      <c r="B328" s="2"/>
      <c r="C328" s="2"/>
      <c r="D328" s="2"/>
      <c r="E328" s="2"/>
    </row>
    <row r="329" spans="2:5" ht="12.75">
      <c r="B329" s="2"/>
      <c r="C329" s="2"/>
      <c r="D329" s="2"/>
      <c r="E329" s="2"/>
    </row>
    <row r="330" spans="2:5" ht="12.75">
      <c r="B330" s="2"/>
      <c r="C330" s="2"/>
      <c r="D330" s="2"/>
      <c r="E330" s="2"/>
    </row>
    <row r="331" spans="2:5" ht="12.75">
      <c r="B331" s="2"/>
      <c r="C331" s="2"/>
      <c r="D331" s="2"/>
      <c r="E331" s="2"/>
    </row>
    <row r="332" spans="2:5" ht="12.75">
      <c r="B332" s="2"/>
      <c r="C332" s="2"/>
      <c r="D332" s="2"/>
      <c r="E332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  <row r="750" spans="2:5" ht="12.75">
      <c r="B750" s="2"/>
      <c r="C750" s="2"/>
      <c r="D750" s="2"/>
      <c r="E750" s="2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  <row r="812" spans="2:5" ht="12.75">
      <c r="B812" s="2"/>
      <c r="C812" s="2"/>
      <c r="D812" s="2"/>
      <c r="E812" s="2"/>
    </row>
    <row r="813" spans="2:5" ht="12.75">
      <c r="B813" s="2"/>
      <c r="C813" s="2"/>
      <c r="D813" s="2"/>
      <c r="E813" s="2"/>
    </row>
    <row r="814" spans="2:5" ht="12.75">
      <c r="B814" s="2"/>
      <c r="C814" s="2"/>
      <c r="D814" s="2"/>
      <c r="E814" s="2"/>
    </row>
    <row r="815" spans="2:5" ht="12.75">
      <c r="B815" s="2"/>
      <c r="C815" s="2"/>
      <c r="D815" s="2"/>
      <c r="E815" s="2"/>
    </row>
    <row r="816" spans="2:5" ht="12.75">
      <c r="B816" s="2"/>
      <c r="C816" s="2"/>
      <c r="D816" s="2"/>
      <c r="E816" s="2"/>
    </row>
    <row r="817" spans="2:5" ht="12.75">
      <c r="B817" s="2"/>
      <c r="C817" s="2"/>
      <c r="D817" s="2"/>
      <c r="E817" s="2"/>
    </row>
    <row r="818" spans="2:5" ht="12.75">
      <c r="B818" s="2"/>
      <c r="C818" s="2"/>
      <c r="D818" s="2"/>
      <c r="E818" s="2"/>
    </row>
    <row r="819" spans="2:5" ht="12.75">
      <c r="B819" s="2"/>
      <c r="C819" s="2"/>
      <c r="D819" s="2"/>
      <c r="E819" s="2"/>
    </row>
    <row r="820" spans="2:5" ht="12.75">
      <c r="B820" s="2"/>
      <c r="C820" s="2"/>
      <c r="D820" s="2"/>
      <c r="E820" s="2"/>
    </row>
    <row r="821" spans="2:5" ht="12.75">
      <c r="B821" s="2"/>
      <c r="C821" s="2"/>
      <c r="D821" s="2"/>
      <c r="E821" s="2"/>
    </row>
    <row r="822" spans="2:5" ht="12.75">
      <c r="B822" s="2"/>
      <c r="C822" s="2"/>
      <c r="D822" s="2"/>
      <c r="E822" s="2"/>
    </row>
    <row r="823" spans="2:5" ht="12.75">
      <c r="B823" s="2"/>
      <c r="C823" s="2"/>
      <c r="D823" s="2"/>
      <c r="E823" s="2"/>
    </row>
    <row r="824" spans="2:5" ht="12.75">
      <c r="B824" s="2"/>
      <c r="C824" s="2"/>
      <c r="D824" s="2"/>
      <c r="E824" s="2"/>
    </row>
    <row r="825" spans="2:5" ht="12.75">
      <c r="B825" s="2"/>
      <c r="C825" s="2"/>
      <c r="D825" s="2"/>
      <c r="E825" s="2"/>
    </row>
    <row r="826" spans="2:5" ht="12.75">
      <c r="B826" s="2"/>
      <c r="C826" s="2"/>
      <c r="D826" s="2"/>
      <c r="E826" s="2"/>
    </row>
    <row r="827" spans="2:5" ht="12.75">
      <c r="B827" s="2"/>
      <c r="C827" s="2"/>
      <c r="D827" s="2"/>
      <c r="E827" s="2"/>
    </row>
    <row r="828" spans="2:5" ht="12.75">
      <c r="B828" s="2"/>
      <c r="C828" s="2"/>
      <c r="D828" s="2"/>
      <c r="E828" s="2"/>
    </row>
    <row r="829" spans="2:5" ht="12.75">
      <c r="B829" s="2"/>
      <c r="C829" s="2"/>
      <c r="D829" s="2"/>
      <c r="E829" s="2"/>
    </row>
    <row r="830" spans="2:5" ht="12.75">
      <c r="B830" s="2"/>
      <c r="C830" s="2"/>
      <c r="D830" s="2"/>
      <c r="E830" s="2"/>
    </row>
    <row r="831" spans="2:5" ht="12.75">
      <c r="B831" s="2"/>
      <c r="C831" s="2"/>
      <c r="D831" s="2"/>
      <c r="E831" s="2"/>
    </row>
    <row r="832" spans="2:5" ht="12.75">
      <c r="B832" s="2"/>
      <c r="C832" s="2"/>
      <c r="D832" s="2"/>
      <c r="E832" s="2"/>
    </row>
    <row r="833" spans="2:5" ht="12.75">
      <c r="B833" s="2"/>
      <c r="C833" s="2"/>
      <c r="D833" s="2"/>
      <c r="E833" s="2"/>
    </row>
    <row r="834" spans="2:5" ht="12.75">
      <c r="B834" s="2"/>
      <c r="C834" s="2"/>
      <c r="D834" s="2"/>
      <c r="E834" s="2"/>
    </row>
    <row r="835" spans="2:5" ht="12.75">
      <c r="B835" s="2"/>
      <c r="C835" s="2"/>
      <c r="D835" s="2"/>
      <c r="E835" s="2"/>
    </row>
    <row r="836" spans="2:5" ht="12.75">
      <c r="B836" s="2"/>
      <c r="C836" s="2"/>
      <c r="D836" s="2"/>
      <c r="E836" s="2"/>
    </row>
    <row r="837" spans="2:5" ht="12.75">
      <c r="B837" s="2"/>
      <c r="C837" s="2"/>
      <c r="D837" s="2"/>
      <c r="E837" s="2"/>
    </row>
    <row r="838" spans="2:5" ht="12.75">
      <c r="B838" s="2"/>
      <c r="C838" s="2"/>
      <c r="D838" s="2"/>
      <c r="E838" s="2"/>
    </row>
    <row r="839" spans="2:5" ht="12.75">
      <c r="B839" s="2"/>
      <c r="C839" s="2"/>
      <c r="D839" s="2"/>
      <c r="E839" s="2"/>
    </row>
    <row r="840" spans="2:5" ht="12.75">
      <c r="B840" s="2"/>
      <c r="C840" s="2"/>
      <c r="D840" s="2"/>
      <c r="E840" s="2"/>
    </row>
    <row r="841" spans="2:5" ht="12.75">
      <c r="B841" s="2"/>
      <c r="C841" s="2"/>
      <c r="D841" s="2"/>
      <c r="E841" s="2"/>
    </row>
    <row r="842" spans="2:5" ht="12.75">
      <c r="B842" s="2"/>
      <c r="C842" s="2"/>
      <c r="D842" s="2"/>
      <c r="E842" s="2"/>
    </row>
    <row r="843" spans="2:5" ht="12.75">
      <c r="B843" s="2"/>
      <c r="C843" s="2"/>
      <c r="D843" s="2"/>
      <c r="E843" s="2"/>
    </row>
    <row r="844" spans="2:5" ht="12.75">
      <c r="B844" s="2"/>
      <c r="C844" s="2"/>
      <c r="D844" s="2"/>
      <c r="E844" s="2"/>
    </row>
    <row r="845" spans="2:5" ht="12.75">
      <c r="B845" s="2"/>
      <c r="C845" s="2"/>
      <c r="D845" s="2"/>
      <c r="E845" s="2"/>
    </row>
    <row r="846" spans="2:5" ht="12.75">
      <c r="B846" s="2"/>
      <c r="C846" s="2"/>
      <c r="D846" s="2"/>
      <c r="E846" s="2"/>
    </row>
    <row r="847" spans="2:5" ht="12.75">
      <c r="B847" s="2"/>
      <c r="C847" s="2"/>
      <c r="D847" s="2"/>
      <c r="E847" s="2"/>
    </row>
    <row r="848" spans="2:5" ht="12.75">
      <c r="B848" s="2"/>
      <c r="C848" s="2"/>
      <c r="D848" s="2"/>
      <c r="E848" s="2"/>
    </row>
    <row r="849" spans="2:5" ht="12.75">
      <c r="B849" s="2"/>
      <c r="C849" s="2"/>
      <c r="D849" s="2"/>
      <c r="E849" s="2"/>
    </row>
    <row r="850" spans="2:5" ht="12.75">
      <c r="B850" s="2"/>
      <c r="C850" s="2"/>
      <c r="D850" s="2"/>
      <c r="E850" s="2"/>
    </row>
    <row r="851" spans="2:5" ht="12.75">
      <c r="B851" s="2"/>
      <c r="C851" s="2"/>
      <c r="D851" s="2"/>
      <c r="E851" s="2"/>
    </row>
    <row r="852" spans="2:5" ht="12.75">
      <c r="B852" s="2"/>
      <c r="C852" s="2"/>
      <c r="D852" s="2"/>
      <c r="E852" s="2"/>
    </row>
    <row r="853" spans="2:5" ht="12.75">
      <c r="B853" s="2"/>
      <c r="C853" s="2"/>
      <c r="D853" s="2"/>
      <c r="E853" s="2"/>
    </row>
    <row r="854" spans="2:5" ht="12.75">
      <c r="B854" s="2"/>
      <c r="C854" s="2"/>
      <c r="D854" s="2"/>
      <c r="E854" s="2"/>
    </row>
    <row r="855" spans="2:5" ht="12.75">
      <c r="B855" s="2"/>
      <c r="C855" s="2"/>
      <c r="D855" s="2"/>
      <c r="E855" s="2"/>
    </row>
    <row r="856" spans="2:5" ht="12.75">
      <c r="B856" s="2"/>
      <c r="C856" s="2"/>
      <c r="D856" s="2"/>
      <c r="E856" s="2"/>
    </row>
    <row r="857" spans="2:5" ht="12.75">
      <c r="B857" s="2"/>
      <c r="C857" s="2"/>
      <c r="D857" s="2"/>
      <c r="E857" s="2"/>
    </row>
    <row r="858" spans="2:5" ht="12.75">
      <c r="B858" s="2"/>
      <c r="C858" s="2"/>
      <c r="D858" s="2"/>
      <c r="E858" s="2"/>
    </row>
    <row r="859" spans="2:5" ht="12.75">
      <c r="B859" s="2"/>
      <c r="C859" s="2"/>
      <c r="D859" s="2"/>
      <c r="E859" s="2"/>
    </row>
    <row r="860" spans="2:5" ht="12.75">
      <c r="B860" s="2"/>
      <c r="C860" s="2"/>
      <c r="D860" s="2"/>
      <c r="E860" s="2"/>
    </row>
    <row r="861" spans="2:5" ht="12.75">
      <c r="B861" s="2"/>
      <c r="C861" s="2"/>
      <c r="D861" s="2"/>
      <c r="E861" s="2"/>
    </row>
    <row r="862" spans="2:5" ht="12.75">
      <c r="B862" s="2"/>
      <c r="C862" s="2"/>
      <c r="D862" s="2"/>
      <c r="E862" s="2"/>
    </row>
    <row r="863" spans="2:5" ht="12.75">
      <c r="B863" s="2"/>
      <c r="C863" s="2"/>
      <c r="D863" s="2"/>
      <c r="E863" s="2"/>
    </row>
    <row r="864" spans="2:5" ht="12.75">
      <c r="B864" s="2"/>
      <c r="C864" s="2"/>
      <c r="D864" s="2"/>
      <c r="E864" s="2"/>
    </row>
    <row r="865" spans="2:5" ht="12.75">
      <c r="B865" s="2"/>
      <c r="C865" s="2"/>
      <c r="D865" s="2"/>
      <c r="E865" s="2"/>
    </row>
    <row r="866" spans="2:5" ht="12.75">
      <c r="B866" s="2"/>
      <c r="C866" s="2"/>
      <c r="D866" s="2"/>
      <c r="E866" s="2"/>
    </row>
    <row r="867" spans="2:5" ht="12.75">
      <c r="B867" s="2"/>
      <c r="C867" s="2"/>
      <c r="D867" s="2"/>
      <c r="E867" s="2"/>
    </row>
    <row r="868" spans="2:5" ht="12.75">
      <c r="B868" s="2"/>
      <c r="C868" s="2"/>
      <c r="D868" s="2"/>
      <c r="E868" s="2"/>
    </row>
    <row r="869" spans="2:5" ht="12.75">
      <c r="B869" s="2"/>
      <c r="C869" s="2"/>
      <c r="D869" s="2"/>
      <c r="E869" s="2"/>
    </row>
    <row r="870" spans="2:5" ht="12.75">
      <c r="B870" s="2"/>
      <c r="C870" s="2"/>
      <c r="D870" s="2"/>
      <c r="E870" s="2"/>
    </row>
    <row r="871" spans="2:5" ht="12.75">
      <c r="B871" s="2"/>
      <c r="C871" s="2"/>
      <c r="D871" s="2"/>
      <c r="E871" s="2"/>
    </row>
    <row r="872" spans="2:5" ht="12.75">
      <c r="B872" s="2"/>
      <c r="C872" s="2"/>
      <c r="D872" s="2"/>
      <c r="E872" s="2"/>
    </row>
    <row r="873" spans="2:5" ht="12.75">
      <c r="B873" s="2"/>
      <c r="C873" s="2"/>
      <c r="D873" s="2"/>
      <c r="E873" s="2"/>
    </row>
    <row r="874" spans="2:5" ht="12.75">
      <c r="B874" s="2"/>
      <c r="C874" s="2"/>
      <c r="D874" s="2"/>
      <c r="E874" s="2"/>
    </row>
    <row r="875" spans="2:5" ht="12.75">
      <c r="B875" s="2"/>
      <c r="C875" s="2"/>
      <c r="D875" s="2"/>
      <c r="E875" s="2"/>
    </row>
    <row r="876" spans="2:5" ht="12.75">
      <c r="B876" s="2"/>
      <c r="C876" s="2"/>
      <c r="D876" s="2"/>
      <c r="E876" s="2"/>
    </row>
    <row r="877" spans="2:5" ht="12.75">
      <c r="B877" s="2"/>
      <c r="C877" s="2"/>
      <c r="D877" s="2"/>
      <c r="E877" s="2"/>
    </row>
    <row r="878" spans="2:5" ht="12.75">
      <c r="B878" s="2"/>
      <c r="C878" s="2"/>
      <c r="D878" s="2"/>
      <c r="E878" s="2"/>
    </row>
    <row r="879" spans="2:5" ht="12.75">
      <c r="B879" s="2"/>
      <c r="C879" s="2"/>
      <c r="D879" s="2"/>
      <c r="E879" s="2"/>
    </row>
    <row r="880" spans="2:5" ht="12.75">
      <c r="B880" s="2"/>
      <c r="C880" s="2"/>
      <c r="D880" s="2"/>
      <c r="E880" s="2"/>
    </row>
    <row r="881" spans="2:5" ht="12.75">
      <c r="B881" s="2"/>
      <c r="C881" s="2"/>
      <c r="D881" s="2"/>
      <c r="E881" s="2"/>
    </row>
    <row r="882" spans="2:5" ht="12.75">
      <c r="B882" s="2"/>
      <c r="C882" s="2"/>
      <c r="D882" s="2"/>
      <c r="E882" s="2"/>
    </row>
    <row r="883" spans="2:5" ht="12.75">
      <c r="B883" s="2"/>
      <c r="C883" s="2"/>
      <c r="D883" s="2"/>
      <c r="E883" s="2"/>
    </row>
    <row r="884" spans="2:5" ht="12.75">
      <c r="B884" s="2"/>
      <c r="C884" s="2"/>
      <c r="D884" s="2"/>
      <c r="E884" s="2"/>
    </row>
    <row r="885" spans="2:5" ht="12.75">
      <c r="B885" s="2"/>
      <c r="C885" s="2"/>
      <c r="D885" s="2"/>
      <c r="E885" s="2"/>
    </row>
    <row r="886" spans="2:5" ht="12.75">
      <c r="B886" s="2"/>
      <c r="C886" s="2"/>
      <c r="D886" s="2"/>
      <c r="E886" s="2"/>
    </row>
    <row r="887" spans="2:5" ht="12.75">
      <c r="B887" s="2"/>
      <c r="C887" s="2"/>
      <c r="D887" s="2"/>
      <c r="E887" s="2"/>
    </row>
    <row r="888" spans="2:5" ht="12.75">
      <c r="B888" s="2"/>
      <c r="C888" s="2"/>
      <c r="D888" s="2"/>
      <c r="E888" s="2"/>
    </row>
    <row r="889" spans="2:5" ht="12.75">
      <c r="B889" s="2"/>
      <c r="C889" s="2"/>
      <c r="D889" s="2"/>
      <c r="E889" s="2"/>
    </row>
    <row r="890" spans="2:5" ht="12.75">
      <c r="B890" s="2"/>
      <c r="C890" s="2"/>
      <c r="D890" s="2"/>
      <c r="E890" s="2"/>
    </row>
    <row r="891" spans="2:5" ht="12.75">
      <c r="B891" s="2"/>
      <c r="C891" s="2"/>
      <c r="D891" s="2"/>
      <c r="E891" s="2"/>
    </row>
    <row r="892" spans="2:5" ht="12.75">
      <c r="B892" s="2"/>
      <c r="C892" s="2"/>
      <c r="D892" s="2"/>
      <c r="E892" s="2"/>
    </row>
    <row r="893" spans="2:5" ht="12.75">
      <c r="B893" s="2"/>
      <c r="C893" s="2"/>
      <c r="D893" s="2"/>
      <c r="E893" s="2"/>
    </row>
    <row r="894" spans="2:5" ht="12.75">
      <c r="B894" s="2"/>
      <c r="C894" s="2"/>
      <c r="D894" s="2"/>
      <c r="E894" s="2"/>
    </row>
    <row r="895" spans="2:5" ht="12.75">
      <c r="B895" s="2"/>
      <c r="C895" s="2"/>
      <c r="D895" s="2"/>
      <c r="E895" s="2"/>
    </row>
    <row r="896" spans="2:5" ht="12.75">
      <c r="B896" s="2"/>
      <c r="C896" s="2"/>
      <c r="D896" s="2"/>
      <c r="E896" s="2"/>
    </row>
    <row r="897" spans="2:5" ht="12.75">
      <c r="B897" s="2"/>
      <c r="C897" s="2"/>
      <c r="D897" s="2"/>
      <c r="E897" s="2"/>
    </row>
    <row r="898" spans="2:5" ht="12.75">
      <c r="B898" s="2"/>
      <c r="C898" s="2"/>
      <c r="D898" s="2"/>
      <c r="E898" s="2"/>
    </row>
    <row r="899" spans="2:5" ht="12.75">
      <c r="B899" s="2"/>
      <c r="C899" s="2"/>
      <c r="D899" s="2"/>
      <c r="E899" s="2"/>
    </row>
    <row r="900" spans="2:5" ht="12.75">
      <c r="B900" s="2"/>
      <c r="C900" s="2"/>
      <c r="D900" s="2"/>
      <c r="E900" s="2"/>
    </row>
    <row r="901" spans="2:5" ht="12.75">
      <c r="B901" s="2"/>
      <c r="C901" s="2"/>
      <c r="D901" s="2"/>
      <c r="E901" s="2"/>
    </row>
    <row r="902" spans="2:5" ht="12.75">
      <c r="B902" s="2"/>
      <c r="C902" s="2"/>
      <c r="D902" s="2"/>
      <c r="E902" s="2"/>
    </row>
    <row r="903" spans="2:5" ht="12.75">
      <c r="B903" s="2"/>
      <c r="C903" s="2"/>
      <c r="D903" s="2"/>
      <c r="E903" s="2"/>
    </row>
    <row r="904" spans="2:5" ht="12.75">
      <c r="B904" s="2"/>
      <c r="C904" s="2"/>
      <c r="D904" s="2"/>
      <c r="E904" s="2"/>
    </row>
    <row r="905" spans="2:5" ht="12.75">
      <c r="B905" s="2"/>
      <c r="C905" s="2"/>
      <c r="D905" s="2"/>
      <c r="E905" s="2"/>
    </row>
    <row r="906" spans="2:5" ht="12.75">
      <c r="B906" s="2"/>
      <c r="C906" s="2"/>
      <c r="D906" s="2"/>
      <c r="E906" s="2"/>
    </row>
    <row r="907" spans="2:5" ht="12.75">
      <c r="B907" s="2"/>
      <c r="C907" s="2"/>
      <c r="D907" s="2"/>
      <c r="E907" s="2"/>
    </row>
    <row r="908" spans="2:5" ht="12.75">
      <c r="B908" s="2"/>
      <c r="C908" s="2"/>
      <c r="D908" s="2"/>
      <c r="E908" s="2"/>
    </row>
    <row r="909" spans="2:5" ht="12.75">
      <c r="B909" s="2"/>
      <c r="C909" s="2"/>
      <c r="D909" s="2"/>
      <c r="E909" s="2"/>
    </row>
    <row r="910" spans="2:5" ht="12.75">
      <c r="B910" s="2"/>
      <c r="C910" s="2"/>
      <c r="D910" s="2"/>
      <c r="E910" s="2"/>
    </row>
    <row r="911" spans="2:5" ht="12.75">
      <c r="B911" s="2"/>
      <c r="C911" s="2"/>
      <c r="D911" s="2"/>
      <c r="E911" s="2"/>
    </row>
    <row r="912" spans="2:5" ht="12.75">
      <c r="B912" s="2"/>
      <c r="C912" s="2"/>
      <c r="D912" s="2"/>
      <c r="E912" s="2"/>
    </row>
    <row r="913" spans="2:5" ht="12.75">
      <c r="B913" s="2"/>
      <c r="C913" s="2"/>
      <c r="D913" s="2"/>
      <c r="E913" s="2"/>
    </row>
    <row r="914" spans="2:5" ht="12.75">
      <c r="B914" s="2"/>
      <c r="C914" s="2"/>
      <c r="D914" s="2"/>
      <c r="E914" s="2"/>
    </row>
    <row r="915" spans="2:5" ht="12.75">
      <c r="B915" s="2"/>
      <c r="C915" s="2"/>
      <c r="D915" s="2"/>
      <c r="E915" s="2"/>
    </row>
    <row r="916" spans="2:5" ht="12.75">
      <c r="B916" s="2"/>
      <c r="C916" s="2"/>
      <c r="D916" s="2"/>
      <c r="E916" s="2"/>
    </row>
    <row r="917" spans="2:5" ht="12.75">
      <c r="B917" s="2"/>
      <c r="C917" s="2"/>
      <c r="D917" s="2"/>
      <c r="E917" s="2"/>
    </row>
    <row r="918" spans="2:5" ht="12.75">
      <c r="B918" s="2"/>
      <c r="C918" s="2"/>
      <c r="D918" s="2"/>
      <c r="E918" s="2"/>
    </row>
    <row r="919" spans="2:5" ht="12.75">
      <c r="B919" s="2"/>
      <c r="C919" s="2"/>
      <c r="D919" s="2"/>
      <c r="E919" s="2"/>
    </row>
    <row r="920" spans="2:5" ht="12.75">
      <c r="B920" s="2"/>
      <c r="C920" s="2"/>
      <c r="D920" s="2"/>
      <c r="E920" s="2"/>
    </row>
    <row r="921" spans="2:5" ht="12.75">
      <c r="B921" s="2"/>
      <c r="C921" s="2"/>
      <c r="D921" s="2"/>
      <c r="E921" s="2"/>
    </row>
    <row r="922" spans="2:5" ht="12.75">
      <c r="B922" s="2"/>
      <c r="C922" s="2"/>
      <c r="D922" s="2"/>
      <c r="E922" s="2"/>
    </row>
    <row r="923" spans="2:5" ht="12.75">
      <c r="B923" s="2"/>
      <c r="C923" s="2"/>
      <c r="D923" s="2"/>
      <c r="E923" s="2"/>
    </row>
    <row r="924" spans="2:5" ht="12.75">
      <c r="B924" s="2"/>
      <c r="C924" s="2"/>
      <c r="D924" s="2"/>
      <c r="E924" s="2"/>
    </row>
    <row r="925" spans="2:5" ht="12.75">
      <c r="B925" s="2"/>
      <c r="C925" s="2"/>
      <c r="D925" s="2"/>
      <c r="E925" s="2"/>
    </row>
    <row r="926" spans="2:5" ht="12.75">
      <c r="B926" s="2"/>
      <c r="C926" s="2"/>
      <c r="D926" s="2"/>
      <c r="E926" s="2"/>
    </row>
    <row r="927" spans="2:5" ht="12.75">
      <c r="B927" s="2"/>
      <c r="C927" s="2"/>
      <c r="D927" s="2"/>
      <c r="E927" s="2"/>
    </row>
    <row r="928" spans="2:5" ht="12.75">
      <c r="B928" s="2"/>
      <c r="C928" s="2"/>
      <c r="D928" s="2"/>
      <c r="E928" s="2"/>
    </row>
    <row r="929" spans="2:5" ht="12.75">
      <c r="B929" s="2"/>
      <c r="C929" s="2"/>
      <c r="D929" s="2"/>
      <c r="E929" s="2"/>
    </row>
    <row r="930" spans="2:5" ht="12.75">
      <c r="B930" s="2"/>
      <c r="C930" s="2"/>
      <c r="D930" s="2"/>
      <c r="E930" s="2"/>
    </row>
    <row r="931" spans="2:5" ht="12.75">
      <c r="B931" s="2"/>
      <c r="C931" s="2"/>
      <c r="D931" s="2"/>
      <c r="E931" s="2"/>
    </row>
    <row r="932" spans="2:5" ht="12.75">
      <c r="B932" s="2"/>
      <c r="C932" s="2"/>
      <c r="D932" s="2"/>
      <c r="E932" s="2"/>
    </row>
    <row r="933" spans="2:5" ht="12.75">
      <c r="B933" s="2"/>
      <c r="C933" s="2"/>
      <c r="D933" s="2"/>
      <c r="E933" s="2"/>
    </row>
    <row r="934" spans="2:5" ht="12.75">
      <c r="B934" s="2"/>
      <c r="C934" s="2"/>
      <c r="D934" s="2"/>
      <c r="E934" s="2"/>
    </row>
    <row r="935" spans="2:5" ht="12.75">
      <c r="B935" s="2"/>
      <c r="C935" s="2"/>
      <c r="D935" s="2"/>
      <c r="E935" s="2"/>
    </row>
    <row r="936" spans="2:5" ht="12.75">
      <c r="B936" s="2"/>
      <c r="C936" s="2"/>
      <c r="D936" s="2"/>
      <c r="E936" s="2"/>
    </row>
    <row r="937" spans="2:5" ht="12.75">
      <c r="B937" s="2"/>
      <c r="C937" s="2"/>
      <c r="D937" s="2"/>
      <c r="E937" s="2"/>
    </row>
    <row r="938" spans="2:5" ht="12.75">
      <c r="B938" s="2"/>
      <c r="C938" s="2"/>
      <c r="D938" s="2"/>
      <c r="E938" s="2"/>
    </row>
    <row r="939" spans="2:5" ht="12.75">
      <c r="B939" s="2"/>
      <c r="C939" s="2"/>
      <c r="D939" s="2"/>
      <c r="E939" s="2"/>
    </row>
    <row r="940" spans="2:5" ht="12.75">
      <c r="B940" s="2"/>
      <c r="C940" s="2"/>
      <c r="D940" s="2"/>
      <c r="E940" s="2"/>
    </row>
    <row r="941" spans="2:5" ht="12.75">
      <c r="B941" s="2"/>
      <c r="C941" s="2"/>
      <c r="D941" s="2"/>
      <c r="E941" s="2"/>
    </row>
    <row r="942" spans="2:5" ht="12.75">
      <c r="B942" s="2"/>
      <c r="C942" s="2"/>
      <c r="D942" s="2"/>
      <c r="E942" s="2"/>
    </row>
    <row r="943" spans="2:5" ht="12.75">
      <c r="B943" s="2"/>
      <c r="C943" s="2"/>
      <c r="D943" s="2"/>
      <c r="E943" s="2"/>
    </row>
    <row r="944" spans="2:5" ht="12.75">
      <c r="B944" s="2"/>
      <c r="C944" s="2"/>
      <c r="D944" s="2"/>
      <c r="E944" s="2"/>
    </row>
    <row r="945" spans="2:5" ht="12.75">
      <c r="B945" s="2"/>
      <c r="C945" s="2"/>
      <c r="D945" s="2"/>
      <c r="E945" s="2"/>
    </row>
    <row r="946" spans="2:5" ht="12.75">
      <c r="B946" s="2"/>
      <c r="C946" s="2"/>
      <c r="D946" s="2"/>
      <c r="E946" s="2"/>
    </row>
    <row r="947" spans="2:5" ht="12.75">
      <c r="B947" s="2"/>
      <c r="C947" s="2"/>
      <c r="D947" s="2"/>
      <c r="E947" s="2"/>
    </row>
    <row r="948" spans="2:5" ht="12.75">
      <c r="B948" s="2"/>
      <c r="C948" s="2"/>
      <c r="D948" s="2"/>
      <c r="E948" s="2"/>
    </row>
    <row r="949" spans="2:5" ht="12.75">
      <c r="B949" s="2"/>
      <c r="C949" s="2"/>
      <c r="D949" s="2"/>
      <c r="E949" s="2"/>
    </row>
    <row r="950" spans="2:5" ht="12.75">
      <c r="B950" s="2"/>
      <c r="C950" s="2"/>
      <c r="D950" s="2"/>
      <c r="E950" s="2"/>
    </row>
    <row r="951" spans="2:5" ht="12.75">
      <c r="B951" s="2"/>
      <c r="C951" s="2"/>
      <c r="D951" s="2"/>
      <c r="E951" s="2"/>
    </row>
    <row r="952" spans="2:5" ht="12.75">
      <c r="B952" s="2"/>
      <c r="C952" s="2"/>
      <c r="D952" s="2"/>
      <c r="E952" s="2"/>
    </row>
    <row r="953" spans="2:5" ht="12.75">
      <c r="B953" s="2"/>
      <c r="C953" s="2"/>
      <c r="D953" s="2"/>
      <c r="E953" s="2"/>
    </row>
    <row r="954" spans="2:5" ht="12.75">
      <c r="B954" s="2"/>
      <c r="C954" s="2"/>
      <c r="D954" s="2"/>
      <c r="E954" s="2"/>
    </row>
    <row r="955" spans="2:5" ht="12.75">
      <c r="B955" s="2"/>
      <c r="C955" s="2"/>
      <c r="D955" s="2"/>
      <c r="E955" s="2"/>
    </row>
    <row r="956" spans="2:5" ht="12.75">
      <c r="B956" s="2"/>
      <c r="C956" s="2"/>
      <c r="D956" s="2"/>
      <c r="E956" s="2"/>
    </row>
    <row r="957" spans="2:5" ht="12.75">
      <c r="B957" s="2"/>
      <c r="C957" s="2"/>
      <c r="D957" s="2"/>
      <c r="E957" s="2"/>
    </row>
    <row r="958" spans="2:5" ht="12.75">
      <c r="B958" s="2"/>
      <c r="C958" s="2"/>
      <c r="D958" s="2"/>
      <c r="E958" s="2"/>
    </row>
    <row r="959" spans="2:5" ht="12.75">
      <c r="B959" s="2"/>
      <c r="C959" s="2"/>
      <c r="D959" s="2"/>
      <c r="E959" s="2"/>
    </row>
    <row r="960" spans="2:5" ht="12.75">
      <c r="B960" s="2"/>
      <c r="C960" s="2"/>
      <c r="D960" s="2"/>
      <c r="E960" s="2"/>
    </row>
    <row r="961" spans="2:5" ht="12.75">
      <c r="B961" s="2"/>
      <c r="C961" s="2"/>
      <c r="D961" s="2"/>
      <c r="E961" s="2"/>
    </row>
    <row r="962" spans="2:5" ht="12.75">
      <c r="B962" s="2"/>
      <c r="C962" s="2"/>
      <c r="D962" s="2"/>
      <c r="E962" s="2"/>
    </row>
    <row r="963" spans="2:5" ht="12.75">
      <c r="B963" s="2"/>
      <c r="C963" s="2"/>
      <c r="D963" s="2"/>
      <c r="E963" s="2"/>
    </row>
    <row r="964" spans="2:5" ht="12.75">
      <c r="B964" s="2"/>
      <c r="C964" s="2"/>
      <c r="D964" s="2"/>
      <c r="E964" s="2"/>
    </row>
    <row r="965" spans="2:5" ht="12.75">
      <c r="B965" s="2"/>
      <c r="C965" s="2"/>
      <c r="D965" s="2"/>
      <c r="E965" s="2"/>
    </row>
    <row r="966" spans="2:5" ht="12.75">
      <c r="B966" s="2"/>
      <c r="C966" s="2"/>
      <c r="D966" s="2"/>
      <c r="E966" s="2"/>
    </row>
    <row r="967" spans="2:5" ht="12.75">
      <c r="B967" s="2"/>
      <c r="C967" s="2"/>
      <c r="D967" s="2"/>
      <c r="E967" s="2"/>
    </row>
    <row r="968" spans="2:5" ht="12.75">
      <c r="B968" s="2"/>
      <c r="C968" s="2"/>
      <c r="D968" s="2"/>
      <c r="E968" s="2"/>
    </row>
    <row r="969" spans="2:5" ht="12.75">
      <c r="B969" s="2"/>
      <c r="C969" s="2"/>
      <c r="D969" s="2"/>
      <c r="E969" s="2"/>
    </row>
    <row r="970" spans="2:5" ht="12.75">
      <c r="B970" s="2"/>
      <c r="C970" s="2"/>
      <c r="D970" s="2"/>
      <c r="E970" s="2"/>
    </row>
    <row r="971" spans="2:5" ht="12.75">
      <c r="B971" s="2"/>
      <c r="C971" s="2"/>
      <c r="D971" s="2"/>
      <c r="E971" s="2"/>
    </row>
    <row r="972" spans="2:5" ht="12.75">
      <c r="B972" s="2"/>
      <c r="C972" s="2"/>
      <c r="D972" s="2"/>
      <c r="E972" s="2"/>
    </row>
    <row r="973" spans="2:5" ht="12.75">
      <c r="B973" s="2"/>
      <c r="C973" s="2"/>
      <c r="D973" s="2"/>
      <c r="E973" s="2"/>
    </row>
    <row r="974" spans="2:5" ht="12.75">
      <c r="B974" s="2"/>
      <c r="C974" s="2"/>
      <c r="D974" s="2"/>
      <c r="E974" s="2"/>
    </row>
    <row r="975" spans="2:5" ht="12.75">
      <c r="B975" s="2"/>
      <c r="C975" s="2"/>
      <c r="D975" s="2"/>
      <c r="E975" s="2"/>
    </row>
    <row r="976" spans="2:5" ht="12.75">
      <c r="B976" s="2"/>
      <c r="C976" s="2"/>
      <c r="D976" s="2"/>
      <c r="E976" s="2"/>
    </row>
    <row r="977" spans="2:5" ht="12.75">
      <c r="B977" s="2"/>
      <c r="C977" s="2"/>
      <c r="D977" s="2"/>
      <c r="E977" s="2"/>
    </row>
    <row r="978" spans="2:5" ht="12.75">
      <c r="B978" s="2"/>
      <c r="C978" s="2"/>
      <c r="D978" s="2"/>
      <c r="E978" s="2"/>
    </row>
    <row r="979" spans="2:5" ht="12.75">
      <c r="B979" s="2"/>
      <c r="C979" s="2"/>
      <c r="D979" s="2"/>
      <c r="E979" s="2"/>
    </row>
    <row r="980" spans="2:5" ht="12.75">
      <c r="B980" s="2"/>
      <c r="C980" s="2"/>
      <c r="D980" s="2"/>
      <c r="E980" s="2"/>
    </row>
    <row r="981" spans="2:5" ht="12.75">
      <c r="B981" s="2"/>
      <c r="C981" s="2"/>
      <c r="D981" s="2"/>
      <c r="E981" s="2"/>
    </row>
    <row r="982" spans="2:5" ht="12.75">
      <c r="B982" s="2"/>
      <c r="C982" s="2"/>
      <c r="D982" s="2"/>
      <c r="E982" s="2"/>
    </row>
    <row r="983" spans="2:5" ht="12.75">
      <c r="B983" s="2"/>
      <c r="C983" s="2"/>
      <c r="D983" s="2"/>
      <c r="E983" s="2"/>
    </row>
    <row r="984" spans="2:5" ht="12.75">
      <c r="B984" s="2"/>
      <c r="C984" s="2"/>
      <c r="D984" s="2"/>
      <c r="E984" s="2"/>
    </row>
    <row r="985" spans="2:5" ht="12.75">
      <c r="B985" s="2"/>
      <c r="C985" s="2"/>
      <c r="D985" s="2"/>
      <c r="E985" s="2"/>
    </row>
    <row r="986" spans="2:5" ht="12.75">
      <c r="B986" s="2"/>
      <c r="C986" s="2"/>
      <c r="D986" s="2"/>
      <c r="E986" s="2"/>
    </row>
    <row r="987" spans="2:5" ht="12.75">
      <c r="B987" s="2"/>
      <c r="C987" s="2"/>
      <c r="D987" s="2"/>
      <c r="E987" s="2"/>
    </row>
    <row r="988" spans="2:5" ht="12.75">
      <c r="B988" s="2"/>
      <c r="C988" s="2"/>
      <c r="D988" s="2"/>
      <c r="E988" s="2"/>
    </row>
    <row r="989" spans="2:5" ht="12.75">
      <c r="B989" s="2"/>
      <c r="C989" s="2"/>
      <c r="D989" s="2"/>
      <c r="E989" s="2"/>
    </row>
    <row r="990" spans="2:5" ht="12.75">
      <c r="B990" s="2"/>
      <c r="C990" s="2"/>
      <c r="D990" s="2"/>
      <c r="E990" s="2"/>
    </row>
    <row r="991" spans="2:5" ht="12.75">
      <c r="B991" s="2"/>
      <c r="C991" s="2"/>
      <c r="D991" s="2"/>
      <c r="E991" s="2"/>
    </row>
    <row r="992" spans="2:5" ht="12.75">
      <c r="B992" s="2"/>
      <c r="C992" s="2"/>
      <c r="D992" s="2"/>
      <c r="E992" s="2"/>
    </row>
    <row r="993" spans="2:5" ht="12.75">
      <c r="B993" s="2"/>
      <c r="C993" s="2"/>
      <c r="D993" s="2"/>
      <c r="E993" s="2"/>
    </row>
    <row r="994" spans="2:5" ht="12.75">
      <c r="B994" s="2"/>
      <c r="C994" s="2"/>
      <c r="D994" s="2"/>
      <c r="E994" s="2"/>
    </row>
    <row r="995" spans="2:5" ht="12.75">
      <c r="B995" s="2"/>
      <c r="C995" s="2"/>
      <c r="D995" s="2"/>
      <c r="E995" s="2"/>
    </row>
    <row r="996" spans="2:5" ht="12.75">
      <c r="B996" s="2"/>
      <c r="C996" s="2"/>
      <c r="D996" s="2"/>
      <c r="E996" s="2"/>
    </row>
    <row r="997" spans="2:5" ht="12.75">
      <c r="B997" s="2"/>
      <c r="C997" s="2"/>
      <c r="D997" s="2"/>
      <c r="E997" s="2"/>
    </row>
    <row r="998" spans="2:5" ht="12.75">
      <c r="B998" s="2"/>
      <c r="C998" s="2"/>
      <c r="D998" s="2"/>
      <c r="E998" s="2"/>
    </row>
    <row r="999" spans="2:5" ht="12.75">
      <c r="B999" s="2"/>
      <c r="C999" s="2"/>
      <c r="D999" s="2"/>
      <c r="E999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V999"/>
  <sheetViews>
    <sheetView workbookViewId="0"/>
  </sheetViews>
  <sheetFormatPr defaultColWidth="12.5703125" defaultRowHeight="15.75" customHeight="1"/>
  <cols>
    <col min="1" max="1" width="20.42578125" customWidth="1"/>
    <col min="2" max="2" width="7.7109375" customWidth="1"/>
    <col min="3" max="3" width="11.5703125" customWidth="1"/>
    <col min="4" max="4" width="10.42578125" customWidth="1"/>
    <col min="5" max="5" width="11.42578125" customWidth="1"/>
    <col min="6" max="10" width="10.42578125" customWidth="1"/>
    <col min="11" max="11" width="11.28515625" customWidth="1"/>
    <col min="12" max="12" width="8.85546875" customWidth="1"/>
  </cols>
  <sheetData>
    <row r="1" spans="1:22" ht="12.75">
      <c r="A1" s="47" t="s">
        <v>369</v>
      </c>
      <c r="B1" s="48" t="s">
        <v>385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/>
    <row r="3" spans="1:22" ht="12.75">
      <c r="A3" s="30" t="s">
        <v>309</v>
      </c>
      <c r="B3" s="30" t="s">
        <v>1</v>
      </c>
      <c r="C3" s="31"/>
      <c r="D3" s="31"/>
      <c r="E3" s="31"/>
      <c r="F3" s="32"/>
    </row>
    <row r="4" spans="1:22" ht="12.75">
      <c r="A4" s="30" t="s">
        <v>54</v>
      </c>
      <c r="B4" s="33" t="s">
        <v>5</v>
      </c>
      <c r="C4" s="34" t="s">
        <v>6</v>
      </c>
      <c r="D4" s="34" t="s">
        <v>10</v>
      </c>
      <c r="E4" s="34" t="s">
        <v>11</v>
      </c>
      <c r="F4" s="35" t="s">
        <v>425</v>
      </c>
    </row>
    <row r="5" spans="1:22" ht="12.75">
      <c r="A5" s="33" t="s">
        <v>310</v>
      </c>
      <c r="B5" s="36"/>
      <c r="C5" s="37"/>
      <c r="D5" s="37">
        <v>561</v>
      </c>
      <c r="E5" s="37">
        <v>301.3</v>
      </c>
      <c r="F5" s="38">
        <v>862.3</v>
      </c>
    </row>
    <row r="6" spans="1:22" ht="12.75">
      <c r="A6" s="39" t="s">
        <v>311</v>
      </c>
      <c r="B6" s="40"/>
      <c r="C6" s="41"/>
      <c r="D6" s="41">
        <v>555</v>
      </c>
      <c r="E6" s="41">
        <v>299.20000000000005</v>
      </c>
      <c r="F6" s="42">
        <v>854.2</v>
      </c>
    </row>
    <row r="7" spans="1:22" ht="17.25" customHeight="1">
      <c r="A7" s="39" t="s">
        <v>312</v>
      </c>
      <c r="B7" s="40"/>
      <c r="C7" s="41"/>
      <c r="D7" s="41">
        <v>529</v>
      </c>
      <c r="E7" s="41">
        <v>298.10000000000002</v>
      </c>
      <c r="F7" s="42">
        <v>827.1</v>
      </c>
    </row>
    <row r="8" spans="1:22" ht="12.75">
      <c r="A8" s="39" t="s">
        <v>313</v>
      </c>
      <c r="B8" s="40"/>
      <c r="C8" s="41"/>
      <c r="D8" s="41">
        <v>530</v>
      </c>
      <c r="E8" s="41">
        <v>292.7</v>
      </c>
      <c r="F8" s="42">
        <v>822.7</v>
      </c>
    </row>
    <row r="9" spans="1:22" ht="12.75">
      <c r="A9" s="39" t="s">
        <v>314</v>
      </c>
      <c r="B9" s="40"/>
      <c r="C9" s="41"/>
      <c r="D9" s="41">
        <v>507</v>
      </c>
      <c r="E9" s="41">
        <v>299.70000000000005</v>
      </c>
      <c r="F9" s="42">
        <v>806.7</v>
      </c>
    </row>
    <row r="10" spans="1:22" ht="12.75">
      <c r="A10" s="39" t="s">
        <v>315</v>
      </c>
      <c r="B10" s="40"/>
      <c r="C10" s="41"/>
      <c r="D10" s="41">
        <v>406</v>
      </c>
      <c r="E10" s="41">
        <v>273.39999999999998</v>
      </c>
      <c r="F10" s="42">
        <v>679.4</v>
      </c>
    </row>
    <row r="11" spans="1:22" ht="12.75">
      <c r="A11" s="39" t="s">
        <v>253</v>
      </c>
      <c r="B11" s="40">
        <v>574</v>
      </c>
      <c r="C11" s="41"/>
      <c r="D11" s="41"/>
      <c r="E11" s="41"/>
      <c r="F11" s="42">
        <v>574</v>
      </c>
    </row>
    <row r="12" spans="1:22" ht="12.75">
      <c r="A12" s="39" t="s">
        <v>316</v>
      </c>
      <c r="B12" s="40"/>
      <c r="C12" s="41"/>
      <c r="D12" s="41">
        <v>563</v>
      </c>
      <c r="E12" s="41"/>
      <c r="F12" s="42">
        <v>563</v>
      </c>
    </row>
    <row r="13" spans="1:22" ht="12.75">
      <c r="A13" s="39" t="s">
        <v>317</v>
      </c>
      <c r="B13" s="40"/>
      <c r="C13" s="41"/>
      <c r="D13" s="41">
        <v>549</v>
      </c>
      <c r="E13" s="41"/>
      <c r="F13" s="42">
        <v>549</v>
      </c>
    </row>
    <row r="14" spans="1:22" ht="12.75">
      <c r="A14" s="39" t="s">
        <v>318</v>
      </c>
      <c r="B14" s="40"/>
      <c r="C14" s="41"/>
      <c r="D14" s="41">
        <v>374</v>
      </c>
      <c r="E14" s="41">
        <v>153</v>
      </c>
      <c r="F14" s="42">
        <v>527</v>
      </c>
    </row>
    <row r="15" spans="1:22" ht="12.75">
      <c r="A15" s="39" t="s">
        <v>319</v>
      </c>
      <c r="B15" s="40">
        <v>498</v>
      </c>
      <c r="C15" s="41"/>
      <c r="D15" s="41"/>
      <c r="E15" s="41"/>
      <c r="F15" s="42">
        <v>498</v>
      </c>
    </row>
    <row r="16" spans="1:22" ht="12.75">
      <c r="A16" s="39" t="s">
        <v>320</v>
      </c>
      <c r="B16" s="40"/>
      <c r="C16" s="41"/>
      <c r="D16" s="41">
        <v>490</v>
      </c>
      <c r="E16" s="41"/>
      <c r="F16" s="42">
        <v>490</v>
      </c>
    </row>
    <row r="17" spans="1:6" ht="12.75">
      <c r="A17" s="39" t="s">
        <v>321</v>
      </c>
      <c r="B17" s="40"/>
      <c r="C17" s="41"/>
      <c r="D17" s="41">
        <v>454</v>
      </c>
      <c r="E17" s="41"/>
      <c r="F17" s="42">
        <v>454</v>
      </c>
    </row>
    <row r="18" spans="1:6" ht="12.75">
      <c r="A18" s="39" t="s">
        <v>322</v>
      </c>
      <c r="B18" s="40"/>
      <c r="C18" s="41"/>
      <c r="D18" s="41">
        <v>440</v>
      </c>
      <c r="E18" s="41"/>
      <c r="F18" s="42">
        <v>440</v>
      </c>
    </row>
    <row r="19" spans="1:6" ht="12.75">
      <c r="A19" s="39" t="s">
        <v>323</v>
      </c>
      <c r="B19" s="40"/>
      <c r="C19" s="41"/>
      <c r="D19" s="41"/>
      <c r="E19" s="41">
        <v>305.7</v>
      </c>
      <c r="F19" s="42">
        <v>305.7</v>
      </c>
    </row>
    <row r="20" spans="1:6" ht="12.75">
      <c r="A20" s="39" t="s">
        <v>324</v>
      </c>
      <c r="B20" s="40"/>
      <c r="C20" s="41"/>
      <c r="D20" s="41"/>
      <c r="E20" s="41">
        <v>301.89999999999998</v>
      </c>
      <c r="F20" s="42">
        <v>301.89999999999998</v>
      </c>
    </row>
    <row r="21" spans="1:6" ht="12.75">
      <c r="A21" s="39" t="s">
        <v>325</v>
      </c>
      <c r="B21" s="40"/>
      <c r="C21" s="41"/>
      <c r="D21" s="41"/>
      <c r="E21" s="41">
        <v>297</v>
      </c>
      <c r="F21" s="42">
        <v>297</v>
      </c>
    </row>
    <row r="22" spans="1:6" ht="12.75">
      <c r="A22" s="39" t="s">
        <v>326</v>
      </c>
      <c r="B22" s="40"/>
      <c r="C22" s="41"/>
      <c r="D22" s="41"/>
      <c r="E22" s="41">
        <v>290.8</v>
      </c>
      <c r="F22" s="42">
        <v>290.8</v>
      </c>
    </row>
    <row r="23" spans="1:6" ht="12.75">
      <c r="A23" s="39" t="s">
        <v>327</v>
      </c>
      <c r="B23" s="40"/>
      <c r="C23" s="41"/>
      <c r="D23" s="41"/>
      <c r="E23" s="41">
        <v>290.29999999999995</v>
      </c>
      <c r="F23" s="42">
        <v>290.29999999999995</v>
      </c>
    </row>
    <row r="24" spans="1:6" ht="12.75">
      <c r="A24" s="39" t="s">
        <v>328</v>
      </c>
      <c r="B24" s="40"/>
      <c r="C24" s="41"/>
      <c r="D24" s="41"/>
      <c r="E24" s="41">
        <v>286.3</v>
      </c>
      <c r="F24" s="42">
        <v>286.3</v>
      </c>
    </row>
    <row r="25" spans="1:6" ht="12.75">
      <c r="A25" s="39" t="s">
        <v>329</v>
      </c>
      <c r="B25" s="40"/>
      <c r="C25" s="41"/>
      <c r="D25" s="41"/>
      <c r="E25" s="41">
        <v>280.2</v>
      </c>
      <c r="F25" s="42">
        <v>280.2</v>
      </c>
    </row>
    <row r="26" spans="1:6" ht="12.75">
      <c r="A26" s="39" t="s">
        <v>330</v>
      </c>
      <c r="B26" s="40"/>
      <c r="C26" s="41">
        <v>280</v>
      </c>
      <c r="D26" s="41"/>
      <c r="E26" s="41"/>
      <c r="F26" s="42">
        <v>280</v>
      </c>
    </row>
    <row r="27" spans="1:6" ht="12.75">
      <c r="A27" s="39" t="s">
        <v>331</v>
      </c>
      <c r="B27" s="40"/>
      <c r="C27" s="41">
        <v>274</v>
      </c>
      <c r="D27" s="41"/>
      <c r="E27" s="41"/>
      <c r="F27" s="42">
        <v>274</v>
      </c>
    </row>
    <row r="28" spans="1:6" ht="12.75">
      <c r="A28" s="39" t="s">
        <v>332</v>
      </c>
      <c r="B28" s="40"/>
      <c r="C28" s="41">
        <v>272</v>
      </c>
      <c r="D28" s="41"/>
      <c r="E28" s="41"/>
      <c r="F28" s="42">
        <v>272</v>
      </c>
    </row>
    <row r="29" spans="1:6" ht="12.75">
      <c r="A29" s="39" t="s">
        <v>333</v>
      </c>
      <c r="B29" s="40"/>
      <c r="C29" s="41"/>
      <c r="D29" s="41"/>
      <c r="E29" s="41">
        <v>262.5</v>
      </c>
      <c r="F29" s="42">
        <v>262.5</v>
      </c>
    </row>
    <row r="30" spans="1:6" ht="12.75">
      <c r="A30" s="39" t="s">
        <v>334</v>
      </c>
      <c r="B30" s="40"/>
      <c r="C30" s="41">
        <v>252</v>
      </c>
      <c r="D30" s="41"/>
      <c r="E30" s="41"/>
      <c r="F30" s="42">
        <v>252</v>
      </c>
    </row>
    <row r="31" spans="1:6" ht="12.75">
      <c r="A31" s="39" t="s">
        <v>335</v>
      </c>
      <c r="B31" s="40"/>
      <c r="C31" s="41">
        <v>243</v>
      </c>
      <c r="D31" s="41"/>
      <c r="E31" s="41"/>
      <c r="F31" s="42">
        <v>243</v>
      </c>
    </row>
    <row r="32" spans="1:6" ht="12.75">
      <c r="A32" s="39" t="s">
        <v>336</v>
      </c>
      <c r="B32" s="40"/>
      <c r="C32" s="41">
        <v>239</v>
      </c>
      <c r="D32" s="41"/>
      <c r="E32" s="41"/>
      <c r="F32" s="42">
        <v>239</v>
      </c>
    </row>
    <row r="33" spans="1:6" ht="12.75">
      <c r="A33" s="39" t="s">
        <v>337</v>
      </c>
      <c r="B33" s="40"/>
      <c r="C33" s="41">
        <v>231</v>
      </c>
      <c r="D33" s="41"/>
      <c r="E33" s="41"/>
      <c r="F33" s="42">
        <v>231</v>
      </c>
    </row>
    <row r="34" spans="1:6" ht="12.75">
      <c r="A34" s="39" t="s">
        <v>338</v>
      </c>
      <c r="B34" s="40"/>
      <c r="C34" s="41">
        <v>230</v>
      </c>
      <c r="D34" s="41"/>
      <c r="E34" s="41"/>
      <c r="F34" s="42">
        <v>230</v>
      </c>
    </row>
    <row r="35" spans="1:6" ht="12.75">
      <c r="A35" s="39" t="s">
        <v>339</v>
      </c>
      <c r="B35" s="40"/>
      <c r="C35" s="41"/>
      <c r="D35" s="41"/>
      <c r="E35" s="41">
        <v>227.10000000000002</v>
      </c>
      <c r="F35" s="42">
        <v>227.10000000000002</v>
      </c>
    </row>
    <row r="36" spans="1:6" ht="12.75">
      <c r="A36" s="39" t="s">
        <v>340</v>
      </c>
      <c r="B36" s="40"/>
      <c r="C36" s="41">
        <v>213</v>
      </c>
      <c r="D36" s="41"/>
      <c r="E36" s="41"/>
      <c r="F36" s="42">
        <v>213</v>
      </c>
    </row>
    <row r="37" spans="1:6" ht="12.75">
      <c r="A37" s="39" t="s">
        <v>341</v>
      </c>
      <c r="B37" s="40"/>
      <c r="C37" s="41">
        <v>170</v>
      </c>
      <c r="D37" s="41"/>
      <c r="E37" s="41"/>
      <c r="F37" s="42">
        <v>170</v>
      </c>
    </row>
    <row r="38" spans="1:6" ht="12.75">
      <c r="A38" s="39" t="s">
        <v>342</v>
      </c>
      <c r="B38" s="40"/>
      <c r="C38" s="41">
        <v>91</v>
      </c>
      <c r="D38" s="41"/>
      <c r="E38" s="41"/>
      <c r="F38" s="42">
        <v>91</v>
      </c>
    </row>
    <row r="39" spans="1:6" ht="12.75">
      <c r="A39" s="43" t="s">
        <v>425</v>
      </c>
      <c r="B39" s="44">
        <v>1072</v>
      </c>
      <c r="C39" s="45">
        <v>2495</v>
      </c>
      <c r="D39" s="45">
        <v>5958</v>
      </c>
      <c r="E39" s="45">
        <v>4459.2</v>
      </c>
      <c r="F39" s="46">
        <v>13984.199999999999</v>
      </c>
    </row>
    <row r="40" spans="1:6" ht="12.75">
      <c r="B40" s="2"/>
      <c r="C40" s="2"/>
      <c r="D40" s="2"/>
      <c r="E40" s="2"/>
    </row>
    <row r="41" spans="1:6" ht="12.75">
      <c r="B41" s="2"/>
      <c r="C41" s="2"/>
      <c r="D41" s="2"/>
      <c r="E41" s="2"/>
    </row>
    <row r="42" spans="1:6" ht="12.75">
      <c r="B42" s="2"/>
      <c r="C42" s="2"/>
      <c r="D42" s="2"/>
      <c r="E42" s="2"/>
    </row>
    <row r="43" spans="1:6" ht="12.75">
      <c r="B43" s="2"/>
      <c r="C43" s="2"/>
      <c r="D43" s="2"/>
      <c r="E43" s="2"/>
    </row>
    <row r="44" spans="1:6" ht="12.75">
      <c r="B44" s="2"/>
      <c r="C44" s="2"/>
      <c r="D44" s="2"/>
      <c r="E44" s="2"/>
    </row>
    <row r="45" spans="1:6" ht="12.75">
      <c r="B45" s="2"/>
      <c r="C45" s="2"/>
      <c r="D45" s="2"/>
      <c r="E45" s="2"/>
    </row>
    <row r="46" spans="1:6" ht="12.75">
      <c r="B46" s="2"/>
      <c r="C46" s="2"/>
      <c r="D46" s="2"/>
      <c r="E46" s="2"/>
    </row>
    <row r="47" spans="1:6" ht="12.75">
      <c r="B47" s="2"/>
      <c r="C47" s="2"/>
      <c r="D47" s="2"/>
      <c r="E47" s="2"/>
    </row>
    <row r="48" spans="1:6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  <row r="145" spans="2:5" ht="12.75">
      <c r="B145" s="2"/>
      <c r="C145" s="2"/>
      <c r="D145" s="2"/>
      <c r="E145" s="2"/>
    </row>
    <row r="146" spans="2:5" ht="12.75">
      <c r="B146" s="2"/>
      <c r="C146" s="2"/>
      <c r="D146" s="2"/>
      <c r="E146" s="2"/>
    </row>
    <row r="147" spans="2:5" ht="12.75">
      <c r="B147" s="2"/>
      <c r="C147" s="2"/>
      <c r="D147" s="2"/>
      <c r="E147" s="2"/>
    </row>
    <row r="148" spans="2:5" ht="12.75">
      <c r="B148" s="2"/>
      <c r="C148" s="2"/>
      <c r="D148" s="2"/>
      <c r="E148" s="2"/>
    </row>
    <row r="149" spans="2:5" ht="12.75">
      <c r="B149" s="2"/>
      <c r="C149" s="2"/>
      <c r="D149" s="2"/>
      <c r="E149" s="2"/>
    </row>
    <row r="150" spans="2:5" ht="12.75">
      <c r="B150" s="2"/>
      <c r="C150" s="2"/>
      <c r="D150" s="2"/>
      <c r="E150" s="2"/>
    </row>
    <row r="151" spans="2:5" ht="12.75">
      <c r="B151" s="2"/>
      <c r="C151" s="2"/>
      <c r="D151" s="2"/>
      <c r="E151" s="2"/>
    </row>
    <row r="152" spans="2:5" ht="12.75">
      <c r="B152" s="2"/>
      <c r="C152" s="2"/>
      <c r="D152" s="2"/>
      <c r="E152" s="2"/>
    </row>
    <row r="153" spans="2:5" ht="12.75">
      <c r="B153" s="2"/>
      <c r="C153" s="2"/>
      <c r="D153" s="2"/>
      <c r="E153" s="2"/>
    </row>
    <row r="154" spans="2:5" ht="12.75">
      <c r="B154" s="2"/>
      <c r="C154" s="2"/>
      <c r="D154" s="2"/>
      <c r="E154" s="2"/>
    </row>
    <row r="155" spans="2:5" ht="12.75">
      <c r="B155" s="2"/>
      <c r="C155" s="2"/>
      <c r="D155" s="2"/>
      <c r="E155" s="2"/>
    </row>
    <row r="156" spans="2:5" ht="12.75">
      <c r="B156" s="2"/>
      <c r="C156" s="2"/>
      <c r="D156" s="2"/>
      <c r="E156" s="2"/>
    </row>
    <row r="157" spans="2:5" ht="12.75">
      <c r="B157" s="2"/>
      <c r="C157" s="2"/>
      <c r="D157" s="2"/>
      <c r="E157" s="2"/>
    </row>
    <row r="158" spans="2:5" ht="12.75">
      <c r="B158" s="2"/>
      <c r="C158" s="2"/>
      <c r="D158" s="2"/>
      <c r="E158" s="2"/>
    </row>
    <row r="159" spans="2:5" ht="12.75">
      <c r="B159" s="2"/>
      <c r="C159" s="2"/>
      <c r="D159" s="2"/>
      <c r="E159" s="2"/>
    </row>
    <row r="160" spans="2:5" ht="12.75">
      <c r="B160" s="2"/>
      <c r="C160" s="2"/>
      <c r="D160" s="2"/>
      <c r="E160" s="2"/>
    </row>
    <row r="161" spans="2:5" ht="12.75">
      <c r="B161" s="2"/>
      <c r="C161" s="2"/>
      <c r="D161" s="2"/>
      <c r="E161" s="2"/>
    </row>
    <row r="162" spans="2:5" ht="12.75">
      <c r="B162" s="2"/>
      <c r="C162" s="2"/>
      <c r="D162" s="2"/>
      <c r="E162" s="2"/>
    </row>
    <row r="163" spans="2:5" ht="12.75">
      <c r="B163" s="2"/>
      <c r="C163" s="2"/>
      <c r="D163" s="2"/>
      <c r="E163" s="2"/>
    </row>
    <row r="164" spans="2:5" ht="12.75">
      <c r="B164" s="2"/>
      <c r="C164" s="2"/>
      <c r="D164" s="2"/>
      <c r="E164" s="2"/>
    </row>
    <row r="165" spans="2:5" ht="12.75">
      <c r="B165" s="2"/>
      <c r="C165" s="2"/>
      <c r="D165" s="2"/>
      <c r="E165" s="2"/>
    </row>
    <row r="166" spans="2:5" ht="12.75">
      <c r="B166" s="2"/>
      <c r="C166" s="2"/>
      <c r="D166" s="2"/>
      <c r="E166" s="2"/>
    </row>
    <row r="167" spans="2:5" ht="12.75">
      <c r="B167" s="2"/>
      <c r="C167" s="2"/>
      <c r="D167" s="2"/>
      <c r="E167" s="2"/>
    </row>
    <row r="168" spans="2:5" ht="12.75">
      <c r="B168" s="2"/>
      <c r="C168" s="2"/>
      <c r="D168" s="2"/>
      <c r="E168" s="2"/>
    </row>
    <row r="169" spans="2:5" ht="12.75">
      <c r="B169" s="2"/>
      <c r="C169" s="2"/>
      <c r="D169" s="2"/>
      <c r="E169" s="2"/>
    </row>
    <row r="170" spans="2:5" ht="12.75">
      <c r="B170" s="2"/>
      <c r="C170" s="2"/>
      <c r="D170" s="2"/>
      <c r="E170" s="2"/>
    </row>
    <row r="171" spans="2:5" ht="12.75">
      <c r="B171" s="2"/>
      <c r="C171" s="2"/>
      <c r="D171" s="2"/>
      <c r="E171" s="2"/>
    </row>
    <row r="172" spans="2:5" ht="12.75">
      <c r="B172" s="2"/>
      <c r="C172" s="2"/>
      <c r="D172" s="2"/>
      <c r="E172" s="2"/>
    </row>
    <row r="173" spans="2:5" ht="12.75">
      <c r="B173" s="2"/>
      <c r="C173" s="2"/>
      <c r="D173" s="2"/>
      <c r="E173" s="2"/>
    </row>
    <row r="174" spans="2:5" ht="12.75">
      <c r="B174" s="2"/>
      <c r="C174" s="2"/>
      <c r="D174" s="2"/>
      <c r="E174" s="2"/>
    </row>
    <row r="175" spans="2:5" ht="12.75">
      <c r="B175" s="2"/>
      <c r="C175" s="2"/>
      <c r="D175" s="2"/>
      <c r="E175" s="2"/>
    </row>
    <row r="176" spans="2:5" ht="12.75">
      <c r="B176" s="2"/>
      <c r="C176" s="2"/>
      <c r="D176" s="2"/>
      <c r="E176" s="2"/>
    </row>
    <row r="177" spans="2:5" ht="12.75">
      <c r="B177" s="2"/>
      <c r="C177" s="2"/>
      <c r="D177" s="2"/>
      <c r="E177" s="2"/>
    </row>
    <row r="178" spans="2:5" ht="12.75">
      <c r="B178" s="2"/>
      <c r="C178" s="2"/>
      <c r="D178" s="2"/>
      <c r="E178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  <row r="204" spans="2:5" ht="12.75">
      <c r="B204" s="2"/>
      <c r="C204" s="2"/>
      <c r="D204" s="2"/>
      <c r="E204" s="2"/>
    </row>
    <row r="205" spans="2:5" ht="12.75">
      <c r="B205" s="2"/>
      <c r="C205" s="2"/>
      <c r="D205" s="2"/>
      <c r="E205" s="2"/>
    </row>
    <row r="206" spans="2:5" ht="12.75">
      <c r="B206" s="2"/>
      <c r="C206" s="2"/>
      <c r="D206" s="2"/>
      <c r="E206" s="2"/>
    </row>
    <row r="207" spans="2:5" ht="12.75">
      <c r="B207" s="2"/>
      <c r="C207" s="2"/>
      <c r="D207" s="2"/>
      <c r="E207" s="2"/>
    </row>
    <row r="208" spans="2:5" ht="12.75">
      <c r="B208" s="2"/>
      <c r="C208" s="2"/>
      <c r="D208" s="2"/>
      <c r="E208" s="2"/>
    </row>
    <row r="209" spans="2:5" ht="12.75">
      <c r="B209" s="2"/>
      <c r="C209" s="2"/>
      <c r="D209" s="2"/>
      <c r="E209" s="2"/>
    </row>
    <row r="210" spans="2:5" ht="12.75">
      <c r="B210" s="2"/>
      <c r="C210" s="2"/>
      <c r="D210" s="2"/>
      <c r="E210" s="2"/>
    </row>
    <row r="211" spans="2:5" ht="12.75">
      <c r="B211" s="2"/>
      <c r="C211" s="2"/>
      <c r="D211" s="2"/>
      <c r="E211" s="2"/>
    </row>
    <row r="212" spans="2:5" ht="12.75">
      <c r="B212" s="2"/>
      <c r="C212" s="2"/>
      <c r="D212" s="2"/>
      <c r="E212" s="2"/>
    </row>
    <row r="213" spans="2:5" ht="12.75">
      <c r="B213" s="2"/>
      <c r="C213" s="2"/>
      <c r="D213" s="2"/>
      <c r="E213" s="2"/>
    </row>
    <row r="214" spans="2:5" ht="12.75">
      <c r="B214" s="2"/>
      <c r="C214" s="2"/>
      <c r="D214" s="2"/>
      <c r="E214" s="2"/>
    </row>
    <row r="215" spans="2:5" ht="12.75">
      <c r="B215" s="2"/>
      <c r="C215" s="2"/>
      <c r="D215" s="2"/>
      <c r="E215" s="2"/>
    </row>
    <row r="216" spans="2:5" ht="12.75">
      <c r="B216" s="2"/>
      <c r="C216" s="2"/>
      <c r="D216" s="2"/>
      <c r="E216" s="2"/>
    </row>
    <row r="217" spans="2:5" ht="12.75">
      <c r="B217" s="2"/>
      <c r="C217" s="2"/>
      <c r="D217" s="2"/>
      <c r="E217" s="2"/>
    </row>
    <row r="218" spans="2:5" ht="12.75">
      <c r="B218" s="2"/>
      <c r="C218" s="2"/>
      <c r="D218" s="2"/>
      <c r="E218" s="2"/>
    </row>
    <row r="219" spans="2:5" ht="12.75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2.75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  <row r="227" spans="2:5" ht="12.75">
      <c r="B227" s="2"/>
      <c r="C227" s="2"/>
      <c r="D227" s="2"/>
      <c r="E227" s="2"/>
    </row>
    <row r="228" spans="2:5" ht="12.75">
      <c r="B228" s="2"/>
      <c r="C228" s="2"/>
      <c r="D228" s="2"/>
      <c r="E228" s="2"/>
    </row>
    <row r="229" spans="2:5" ht="12.75">
      <c r="B229" s="2"/>
      <c r="C229" s="2"/>
      <c r="D229" s="2"/>
      <c r="E229" s="2"/>
    </row>
    <row r="230" spans="2:5" ht="12.75">
      <c r="B230" s="2"/>
      <c r="C230" s="2"/>
      <c r="D230" s="2"/>
      <c r="E230" s="2"/>
    </row>
    <row r="231" spans="2:5" ht="12.75">
      <c r="B231" s="2"/>
      <c r="C231" s="2"/>
      <c r="D231" s="2"/>
      <c r="E231" s="2"/>
    </row>
    <row r="232" spans="2:5" ht="12.75">
      <c r="B232" s="2"/>
      <c r="C232" s="2"/>
      <c r="D232" s="2"/>
      <c r="E232" s="2"/>
    </row>
    <row r="233" spans="2:5" ht="12.75">
      <c r="B233" s="2"/>
      <c r="C233" s="2"/>
      <c r="D233" s="2"/>
      <c r="E233" s="2"/>
    </row>
    <row r="234" spans="2:5" ht="12.75">
      <c r="B234" s="2"/>
      <c r="C234" s="2"/>
      <c r="D234" s="2"/>
      <c r="E234" s="2"/>
    </row>
    <row r="235" spans="2:5" ht="12.75">
      <c r="B235" s="2"/>
      <c r="C235" s="2"/>
      <c r="D235" s="2"/>
      <c r="E235" s="2"/>
    </row>
    <row r="236" spans="2:5" ht="12.75">
      <c r="B236" s="2"/>
      <c r="C236" s="2"/>
      <c r="D236" s="2"/>
      <c r="E236" s="2"/>
    </row>
    <row r="237" spans="2:5" ht="12.75">
      <c r="B237" s="2"/>
      <c r="C237" s="2"/>
      <c r="D237" s="2"/>
      <c r="E237" s="2"/>
    </row>
    <row r="238" spans="2:5" ht="12.75">
      <c r="B238" s="2"/>
      <c r="C238" s="2"/>
      <c r="D238" s="2"/>
      <c r="E238" s="2"/>
    </row>
    <row r="239" spans="2:5" ht="12.75">
      <c r="B239" s="2"/>
      <c r="C239" s="2"/>
      <c r="D239" s="2"/>
      <c r="E239" s="2"/>
    </row>
    <row r="240" spans="2:5" ht="12.75">
      <c r="B240" s="2"/>
      <c r="C240" s="2"/>
      <c r="D240" s="2"/>
      <c r="E240" s="2"/>
    </row>
    <row r="241" spans="2:5" ht="12.75">
      <c r="B241" s="2"/>
      <c r="C241" s="2"/>
      <c r="D241" s="2"/>
      <c r="E241" s="2"/>
    </row>
    <row r="242" spans="2:5" ht="12.75">
      <c r="B242" s="2"/>
      <c r="C242" s="2"/>
      <c r="D242" s="2"/>
      <c r="E242" s="2"/>
    </row>
    <row r="243" spans="2:5" ht="12.75">
      <c r="B243" s="2"/>
      <c r="C243" s="2"/>
      <c r="D243" s="2"/>
      <c r="E243" s="2"/>
    </row>
    <row r="244" spans="2:5" ht="12.75">
      <c r="B244" s="2"/>
      <c r="C244" s="2"/>
      <c r="D244" s="2"/>
      <c r="E244" s="2"/>
    </row>
    <row r="245" spans="2:5" ht="12.75">
      <c r="B245" s="2"/>
      <c r="C245" s="2"/>
      <c r="D245" s="2"/>
      <c r="E245" s="2"/>
    </row>
    <row r="246" spans="2:5" ht="12.75">
      <c r="B246" s="2"/>
      <c r="C246" s="2"/>
      <c r="D246" s="2"/>
      <c r="E246" s="2"/>
    </row>
    <row r="247" spans="2:5" ht="12.75">
      <c r="B247" s="2"/>
      <c r="C247" s="2"/>
      <c r="D247" s="2"/>
      <c r="E247" s="2"/>
    </row>
    <row r="248" spans="2:5" ht="12.75">
      <c r="B248" s="2"/>
      <c r="C248" s="2"/>
      <c r="D248" s="2"/>
      <c r="E248" s="2"/>
    </row>
    <row r="249" spans="2:5" ht="12.75">
      <c r="B249" s="2"/>
      <c r="C249" s="2"/>
      <c r="D249" s="2"/>
      <c r="E249" s="2"/>
    </row>
    <row r="250" spans="2:5" ht="12.75"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5" ht="12.75">
      <c r="B252" s="2"/>
      <c r="C252" s="2"/>
      <c r="D252" s="2"/>
      <c r="E252" s="2"/>
    </row>
    <row r="253" spans="2:5" ht="12.75">
      <c r="B253" s="2"/>
      <c r="C253" s="2"/>
      <c r="D253" s="2"/>
      <c r="E253" s="2"/>
    </row>
    <row r="254" spans="2:5" ht="12.75"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5" ht="12.75">
      <c r="B256" s="2"/>
      <c r="C256" s="2"/>
      <c r="D256" s="2"/>
      <c r="E256" s="2"/>
    </row>
    <row r="257" spans="2:5" ht="12.75">
      <c r="B257" s="2"/>
      <c r="C257" s="2"/>
      <c r="D257" s="2"/>
      <c r="E257" s="2"/>
    </row>
    <row r="258" spans="2:5" ht="12.75">
      <c r="B258" s="2"/>
      <c r="C258" s="2"/>
      <c r="D258" s="2"/>
      <c r="E258" s="2"/>
    </row>
    <row r="259" spans="2:5" ht="12.75">
      <c r="B259" s="2"/>
      <c r="C259" s="2"/>
      <c r="D259" s="2"/>
      <c r="E259" s="2"/>
    </row>
    <row r="260" spans="2:5" ht="12.75">
      <c r="B260" s="2"/>
      <c r="C260" s="2"/>
      <c r="D260" s="2"/>
      <c r="E260" s="2"/>
    </row>
    <row r="261" spans="2:5" ht="12.75">
      <c r="B261" s="2"/>
      <c r="C261" s="2"/>
      <c r="D261" s="2"/>
      <c r="E261" s="2"/>
    </row>
    <row r="262" spans="2:5" ht="12.75">
      <c r="B262" s="2"/>
      <c r="C262" s="2"/>
      <c r="D262" s="2"/>
      <c r="E262" s="2"/>
    </row>
    <row r="263" spans="2:5" ht="12.75">
      <c r="B263" s="2"/>
      <c r="C263" s="2"/>
      <c r="D263" s="2"/>
      <c r="E263" s="2"/>
    </row>
    <row r="264" spans="2:5" ht="12.75">
      <c r="B264" s="2"/>
      <c r="C264" s="2"/>
      <c r="D264" s="2"/>
      <c r="E264" s="2"/>
    </row>
    <row r="265" spans="2:5" ht="12.75">
      <c r="B265" s="2"/>
      <c r="C265" s="2"/>
      <c r="D265" s="2"/>
      <c r="E265" s="2"/>
    </row>
    <row r="266" spans="2:5" ht="12.75">
      <c r="B266" s="2"/>
      <c r="C266" s="2"/>
      <c r="D266" s="2"/>
      <c r="E266" s="2"/>
    </row>
    <row r="267" spans="2:5" ht="12.75">
      <c r="B267" s="2"/>
      <c r="C267" s="2"/>
      <c r="D267" s="2"/>
      <c r="E267" s="2"/>
    </row>
    <row r="268" spans="2:5" ht="12.75">
      <c r="B268" s="2"/>
      <c r="C268" s="2"/>
      <c r="D268" s="2"/>
      <c r="E268" s="2"/>
    </row>
    <row r="269" spans="2:5" ht="12.75">
      <c r="B269" s="2"/>
      <c r="C269" s="2"/>
      <c r="D269" s="2"/>
      <c r="E269" s="2"/>
    </row>
    <row r="270" spans="2:5" ht="12.75">
      <c r="B270" s="2"/>
      <c r="C270" s="2"/>
      <c r="D270" s="2"/>
      <c r="E270" s="2"/>
    </row>
    <row r="271" spans="2:5" ht="12.75">
      <c r="B271" s="2"/>
      <c r="C271" s="2"/>
      <c r="D271" s="2"/>
      <c r="E271" s="2"/>
    </row>
    <row r="272" spans="2:5" ht="12.75">
      <c r="B272" s="2"/>
      <c r="C272" s="2"/>
      <c r="D272" s="2"/>
      <c r="E272" s="2"/>
    </row>
    <row r="273" spans="2:5" ht="12.75">
      <c r="B273" s="2"/>
      <c r="C273" s="2"/>
      <c r="D273" s="2"/>
      <c r="E273" s="2"/>
    </row>
    <row r="274" spans="2:5" ht="12.75">
      <c r="B274" s="2"/>
      <c r="C274" s="2"/>
      <c r="D274" s="2"/>
      <c r="E274" s="2"/>
    </row>
    <row r="275" spans="2:5" ht="12.75">
      <c r="B275" s="2"/>
      <c r="C275" s="2"/>
      <c r="D275" s="2"/>
      <c r="E275" s="2"/>
    </row>
    <row r="276" spans="2:5" ht="12.75"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5" ht="12.75">
      <c r="B278" s="2"/>
      <c r="C278" s="2"/>
      <c r="D278" s="2"/>
      <c r="E278" s="2"/>
    </row>
    <row r="279" spans="2:5" ht="12.75">
      <c r="B279" s="2"/>
      <c r="C279" s="2"/>
      <c r="D279" s="2"/>
      <c r="E279" s="2"/>
    </row>
    <row r="280" spans="2:5" ht="12.75">
      <c r="B280" s="2"/>
      <c r="C280" s="2"/>
      <c r="D280" s="2"/>
      <c r="E280" s="2"/>
    </row>
    <row r="281" spans="2:5" ht="12.75"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5" ht="12.75">
      <c r="B284" s="2"/>
      <c r="C284" s="2"/>
      <c r="D284" s="2"/>
      <c r="E284" s="2"/>
    </row>
    <row r="285" spans="2:5" ht="12.75">
      <c r="B285" s="2"/>
      <c r="C285" s="2"/>
      <c r="D285" s="2"/>
      <c r="E285" s="2"/>
    </row>
    <row r="286" spans="2:5" ht="12.75">
      <c r="B286" s="2"/>
      <c r="C286" s="2"/>
      <c r="D286" s="2"/>
      <c r="E286" s="2"/>
    </row>
    <row r="287" spans="2:5" ht="12.75">
      <c r="B287" s="2"/>
      <c r="C287" s="2"/>
      <c r="D287" s="2"/>
      <c r="E287" s="2"/>
    </row>
    <row r="288" spans="2:5" ht="12.75">
      <c r="B288" s="2"/>
      <c r="C288" s="2"/>
      <c r="D288" s="2"/>
      <c r="E288" s="2"/>
    </row>
    <row r="289" spans="2:5" ht="12.75">
      <c r="B289" s="2"/>
      <c r="C289" s="2"/>
      <c r="D289" s="2"/>
      <c r="E289" s="2"/>
    </row>
    <row r="290" spans="2:5" ht="12.75">
      <c r="B290" s="2"/>
      <c r="C290" s="2"/>
      <c r="D290" s="2"/>
      <c r="E290" s="2"/>
    </row>
    <row r="291" spans="2:5" ht="12.75">
      <c r="B291" s="2"/>
      <c r="C291" s="2"/>
      <c r="D291" s="2"/>
      <c r="E291" s="2"/>
    </row>
    <row r="292" spans="2:5" ht="12.75">
      <c r="B292" s="2"/>
      <c r="C292" s="2"/>
      <c r="D292" s="2"/>
      <c r="E292" s="2"/>
    </row>
    <row r="293" spans="2:5" ht="12.75">
      <c r="B293" s="2"/>
      <c r="C293" s="2"/>
      <c r="D293" s="2"/>
      <c r="E293" s="2"/>
    </row>
    <row r="294" spans="2:5" ht="12.75">
      <c r="B294" s="2"/>
      <c r="C294" s="2"/>
      <c r="D294" s="2"/>
      <c r="E294" s="2"/>
    </row>
    <row r="295" spans="2:5" ht="12.75">
      <c r="B295" s="2"/>
      <c r="C295" s="2"/>
      <c r="D295" s="2"/>
      <c r="E295" s="2"/>
    </row>
    <row r="296" spans="2:5" ht="12.75">
      <c r="B296" s="2"/>
      <c r="C296" s="2"/>
      <c r="D296" s="2"/>
      <c r="E296" s="2"/>
    </row>
    <row r="297" spans="2:5" ht="12.75">
      <c r="B297" s="2"/>
      <c r="C297" s="2"/>
      <c r="D297" s="2"/>
      <c r="E297" s="2"/>
    </row>
    <row r="298" spans="2:5" ht="12.75">
      <c r="B298" s="2"/>
      <c r="C298" s="2"/>
      <c r="D298" s="2"/>
      <c r="E298" s="2"/>
    </row>
    <row r="299" spans="2:5" ht="12.75">
      <c r="B299" s="2"/>
      <c r="C299" s="2"/>
      <c r="D299" s="2"/>
      <c r="E299" s="2"/>
    </row>
    <row r="300" spans="2:5" ht="12.75">
      <c r="B300" s="2"/>
      <c r="C300" s="2"/>
      <c r="D300" s="2"/>
      <c r="E300" s="2"/>
    </row>
    <row r="301" spans="2:5" ht="12.75">
      <c r="B301" s="2"/>
      <c r="C301" s="2"/>
      <c r="D301" s="2"/>
      <c r="E301" s="2"/>
    </row>
    <row r="302" spans="2:5" ht="12.75">
      <c r="B302" s="2"/>
      <c r="C302" s="2"/>
      <c r="D302" s="2"/>
      <c r="E302" s="2"/>
    </row>
    <row r="303" spans="2:5" ht="12.75">
      <c r="B303" s="2"/>
      <c r="C303" s="2"/>
      <c r="D303" s="2"/>
      <c r="E303" s="2"/>
    </row>
    <row r="304" spans="2:5" ht="12.75">
      <c r="B304" s="2"/>
      <c r="C304" s="2"/>
      <c r="D304" s="2"/>
      <c r="E304" s="2"/>
    </row>
    <row r="305" spans="2:5" ht="12.75">
      <c r="B305" s="2"/>
      <c r="C305" s="2"/>
      <c r="D305" s="2"/>
      <c r="E305" s="2"/>
    </row>
    <row r="306" spans="2:5" ht="12.75">
      <c r="B306" s="2"/>
      <c r="C306" s="2"/>
      <c r="D306" s="2"/>
      <c r="E306" s="2"/>
    </row>
    <row r="307" spans="2:5" ht="12.75"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5" ht="12.75">
      <c r="B309" s="2"/>
      <c r="C309" s="2"/>
      <c r="D309" s="2"/>
      <c r="E309" s="2"/>
    </row>
    <row r="310" spans="2:5" ht="12.75">
      <c r="B310" s="2"/>
      <c r="C310" s="2"/>
      <c r="D310" s="2"/>
      <c r="E310" s="2"/>
    </row>
    <row r="311" spans="2:5" ht="12.75">
      <c r="B311" s="2"/>
      <c r="C311" s="2"/>
      <c r="D311" s="2"/>
      <c r="E311" s="2"/>
    </row>
    <row r="312" spans="2:5" ht="12.75">
      <c r="B312" s="2"/>
      <c r="C312" s="2"/>
      <c r="D312" s="2"/>
      <c r="E312" s="2"/>
    </row>
    <row r="313" spans="2:5" ht="12.75">
      <c r="B313" s="2"/>
      <c r="C313" s="2"/>
      <c r="D313" s="2"/>
      <c r="E313" s="2"/>
    </row>
    <row r="314" spans="2:5" ht="12.75">
      <c r="B314" s="2"/>
      <c r="C314" s="2"/>
      <c r="D314" s="2"/>
      <c r="E314" s="2"/>
    </row>
    <row r="315" spans="2:5" ht="12.75">
      <c r="B315" s="2"/>
      <c r="C315" s="2"/>
      <c r="D315" s="2"/>
      <c r="E315" s="2"/>
    </row>
    <row r="316" spans="2:5" ht="12.75">
      <c r="B316" s="2"/>
      <c r="C316" s="2"/>
      <c r="D316" s="2"/>
      <c r="E316" s="2"/>
    </row>
    <row r="317" spans="2:5" ht="12.75">
      <c r="B317" s="2"/>
      <c r="C317" s="2"/>
      <c r="D317" s="2"/>
      <c r="E317" s="2"/>
    </row>
    <row r="318" spans="2:5" ht="12.75">
      <c r="B318" s="2"/>
      <c r="C318" s="2"/>
      <c r="D318" s="2"/>
      <c r="E318" s="2"/>
    </row>
    <row r="319" spans="2:5" ht="12.75">
      <c r="B319" s="2"/>
      <c r="C319" s="2"/>
      <c r="D319" s="2"/>
      <c r="E319" s="2"/>
    </row>
    <row r="320" spans="2:5" ht="12.75">
      <c r="B320" s="2"/>
      <c r="C320" s="2"/>
      <c r="D320" s="2"/>
      <c r="E320" s="2"/>
    </row>
    <row r="321" spans="2:5" ht="12.75">
      <c r="B321" s="2"/>
      <c r="C321" s="2"/>
      <c r="D321" s="2"/>
      <c r="E321" s="2"/>
    </row>
    <row r="322" spans="2:5" ht="12.75">
      <c r="B322" s="2"/>
      <c r="C322" s="2"/>
      <c r="D322" s="2"/>
      <c r="E322" s="2"/>
    </row>
    <row r="323" spans="2:5" ht="12.75">
      <c r="B323" s="2"/>
      <c r="C323" s="2"/>
      <c r="D323" s="2"/>
      <c r="E323" s="2"/>
    </row>
    <row r="324" spans="2:5" ht="12.75">
      <c r="B324" s="2"/>
      <c r="C324" s="2"/>
      <c r="D324" s="2"/>
      <c r="E324" s="2"/>
    </row>
    <row r="325" spans="2:5" ht="12.75">
      <c r="B325" s="2"/>
      <c r="C325" s="2"/>
      <c r="D325" s="2"/>
      <c r="E325" s="2"/>
    </row>
    <row r="326" spans="2:5" ht="12.75">
      <c r="B326" s="2"/>
      <c r="C326" s="2"/>
      <c r="D326" s="2"/>
      <c r="E326" s="2"/>
    </row>
    <row r="327" spans="2:5" ht="12.75">
      <c r="B327" s="2"/>
      <c r="C327" s="2"/>
      <c r="D327" s="2"/>
      <c r="E327" s="2"/>
    </row>
    <row r="328" spans="2:5" ht="12.75">
      <c r="B328" s="2"/>
      <c r="C328" s="2"/>
      <c r="D328" s="2"/>
      <c r="E328" s="2"/>
    </row>
    <row r="329" spans="2:5" ht="12.75">
      <c r="B329" s="2"/>
      <c r="C329" s="2"/>
      <c r="D329" s="2"/>
      <c r="E329" s="2"/>
    </row>
    <row r="330" spans="2:5" ht="12.75">
      <c r="B330" s="2"/>
      <c r="C330" s="2"/>
      <c r="D330" s="2"/>
      <c r="E330" s="2"/>
    </row>
    <row r="331" spans="2:5" ht="12.75">
      <c r="B331" s="2"/>
      <c r="C331" s="2"/>
      <c r="D331" s="2"/>
      <c r="E331" s="2"/>
    </row>
    <row r="332" spans="2:5" ht="12.75">
      <c r="B332" s="2"/>
      <c r="C332" s="2"/>
      <c r="D332" s="2"/>
      <c r="E332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  <row r="614" spans="2:5" ht="12.75">
      <c r="B614" s="2"/>
      <c r="C614" s="2"/>
      <c r="D614" s="2"/>
      <c r="E614" s="2"/>
    </row>
    <row r="615" spans="2:5" ht="12.75">
      <c r="B615" s="2"/>
      <c r="C615" s="2"/>
      <c r="D615" s="2"/>
      <c r="E615" s="2"/>
    </row>
    <row r="616" spans="2:5" ht="12.75">
      <c r="B616" s="2"/>
      <c r="C616" s="2"/>
      <c r="D616" s="2"/>
      <c r="E616" s="2"/>
    </row>
    <row r="617" spans="2:5" ht="12.75">
      <c r="B617" s="2"/>
      <c r="C617" s="2"/>
      <c r="D617" s="2"/>
      <c r="E617" s="2"/>
    </row>
    <row r="618" spans="2:5" ht="12.75">
      <c r="B618" s="2"/>
      <c r="C618" s="2"/>
      <c r="D618" s="2"/>
      <c r="E618" s="2"/>
    </row>
    <row r="619" spans="2:5" ht="12.75">
      <c r="B619" s="2"/>
      <c r="C619" s="2"/>
      <c r="D619" s="2"/>
      <c r="E619" s="2"/>
    </row>
    <row r="620" spans="2:5" ht="12.75">
      <c r="B620" s="2"/>
      <c r="C620" s="2"/>
      <c r="D620" s="2"/>
      <c r="E620" s="2"/>
    </row>
    <row r="621" spans="2:5" ht="12.75">
      <c r="B621" s="2"/>
      <c r="C621" s="2"/>
      <c r="D621" s="2"/>
      <c r="E621" s="2"/>
    </row>
    <row r="622" spans="2:5" ht="12.75">
      <c r="B622" s="2"/>
      <c r="C622" s="2"/>
      <c r="D622" s="2"/>
      <c r="E622" s="2"/>
    </row>
    <row r="623" spans="2:5" ht="12.75">
      <c r="B623" s="2"/>
      <c r="C623" s="2"/>
      <c r="D623" s="2"/>
      <c r="E623" s="2"/>
    </row>
    <row r="624" spans="2:5" ht="12.75">
      <c r="B624" s="2"/>
      <c r="C624" s="2"/>
      <c r="D624" s="2"/>
      <c r="E624" s="2"/>
    </row>
    <row r="625" spans="2:5" ht="12.75">
      <c r="B625" s="2"/>
      <c r="C625" s="2"/>
      <c r="D625" s="2"/>
      <c r="E625" s="2"/>
    </row>
    <row r="626" spans="2:5" ht="12.75">
      <c r="B626" s="2"/>
      <c r="C626" s="2"/>
      <c r="D626" s="2"/>
      <c r="E626" s="2"/>
    </row>
    <row r="627" spans="2:5" ht="12.75">
      <c r="B627" s="2"/>
      <c r="C627" s="2"/>
      <c r="D627" s="2"/>
      <c r="E627" s="2"/>
    </row>
    <row r="628" spans="2:5" ht="12.75">
      <c r="B628" s="2"/>
      <c r="C628" s="2"/>
      <c r="D628" s="2"/>
      <c r="E628" s="2"/>
    </row>
    <row r="629" spans="2:5" ht="12.75">
      <c r="B629" s="2"/>
      <c r="C629" s="2"/>
      <c r="D629" s="2"/>
      <c r="E629" s="2"/>
    </row>
    <row r="630" spans="2:5" ht="12.75">
      <c r="B630" s="2"/>
      <c r="C630" s="2"/>
      <c r="D630" s="2"/>
      <c r="E630" s="2"/>
    </row>
    <row r="631" spans="2:5" ht="12.75">
      <c r="B631" s="2"/>
      <c r="C631" s="2"/>
      <c r="D631" s="2"/>
      <c r="E631" s="2"/>
    </row>
    <row r="632" spans="2:5" ht="12.75">
      <c r="B632" s="2"/>
      <c r="C632" s="2"/>
      <c r="D632" s="2"/>
      <c r="E632" s="2"/>
    </row>
    <row r="633" spans="2:5" ht="12.75">
      <c r="B633" s="2"/>
      <c r="C633" s="2"/>
      <c r="D633" s="2"/>
      <c r="E633" s="2"/>
    </row>
    <row r="634" spans="2:5" ht="12.75">
      <c r="B634" s="2"/>
      <c r="C634" s="2"/>
      <c r="D634" s="2"/>
      <c r="E634" s="2"/>
    </row>
    <row r="635" spans="2:5" ht="12.75">
      <c r="B635" s="2"/>
      <c r="C635" s="2"/>
      <c r="D635" s="2"/>
      <c r="E635" s="2"/>
    </row>
    <row r="636" spans="2:5" ht="12.75">
      <c r="B636" s="2"/>
      <c r="C636" s="2"/>
      <c r="D636" s="2"/>
      <c r="E636" s="2"/>
    </row>
    <row r="637" spans="2:5" ht="12.75">
      <c r="B637" s="2"/>
      <c r="C637" s="2"/>
      <c r="D637" s="2"/>
      <c r="E637" s="2"/>
    </row>
    <row r="638" spans="2:5" ht="12.75">
      <c r="B638" s="2"/>
      <c r="C638" s="2"/>
      <c r="D638" s="2"/>
      <c r="E638" s="2"/>
    </row>
    <row r="639" spans="2:5" ht="12.75">
      <c r="B639" s="2"/>
      <c r="C639" s="2"/>
      <c r="D639" s="2"/>
      <c r="E639" s="2"/>
    </row>
    <row r="640" spans="2:5" ht="12.75">
      <c r="B640" s="2"/>
      <c r="C640" s="2"/>
      <c r="D640" s="2"/>
      <c r="E640" s="2"/>
    </row>
    <row r="641" spans="2:5" ht="12.75">
      <c r="B641" s="2"/>
      <c r="C641" s="2"/>
      <c r="D641" s="2"/>
      <c r="E641" s="2"/>
    </row>
    <row r="642" spans="2:5" ht="12.75">
      <c r="B642" s="2"/>
      <c r="C642" s="2"/>
      <c r="D642" s="2"/>
      <c r="E642" s="2"/>
    </row>
    <row r="643" spans="2:5" ht="12.75">
      <c r="B643" s="2"/>
      <c r="C643" s="2"/>
      <c r="D643" s="2"/>
      <c r="E643" s="2"/>
    </row>
    <row r="644" spans="2:5" ht="12.75">
      <c r="B644" s="2"/>
      <c r="C644" s="2"/>
      <c r="D644" s="2"/>
      <c r="E644" s="2"/>
    </row>
    <row r="645" spans="2:5" ht="12.75">
      <c r="B645" s="2"/>
      <c r="C645" s="2"/>
      <c r="D645" s="2"/>
      <c r="E645" s="2"/>
    </row>
    <row r="646" spans="2:5" ht="12.75">
      <c r="B646" s="2"/>
      <c r="C646" s="2"/>
      <c r="D646" s="2"/>
      <c r="E646" s="2"/>
    </row>
    <row r="647" spans="2:5" ht="12.75">
      <c r="B647" s="2"/>
      <c r="C647" s="2"/>
      <c r="D647" s="2"/>
      <c r="E647" s="2"/>
    </row>
    <row r="648" spans="2:5" ht="12.75">
      <c r="B648" s="2"/>
      <c r="C648" s="2"/>
      <c r="D648" s="2"/>
      <c r="E648" s="2"/>
    </row>
    <row r="649" spans="2:5" ht="12.75">
      <c r="B649" s="2"/>
      <c r="C649" s="2"/>
      <c r="D649" s="2"/>
      <c r="E649" s="2"/>
    </row>
    <row r="650" spans="2:5" ht="12.75">
      <c r="B650" s="2"/>
      <c r="C650" s="2"/>
      <c r="D650" s="2"/>
      <c r="E650" s="2"/>
    </row>
    <row r="651" spans="2:5" ht="12.75">
      <c r="B651" s="2"/>
      <c r="C651" s="2"/>
      <c r="D651" s="2"/>
      <c r="E651" s="2"/>
    </row>
    <row r="652" spans="2:5" ht="12.75">
      <c r="B652" s="2"/>
      <c r="C652" s="2"/>
      <c r="D652" s="2"/>
      <c r="E652" s="2"/>
    </row>
    <row r="653" spans="2:5" ht="12.75">
      <c r="B653" s="2"/>
      <c r="C653" s="2"/>
      <c r="D653" s="2"/>
      <c r="E653" s="2"/>
    </row>
    <row r="654" spans="2:5" ht="12.75">
      <c r="B654" s="2"/>
      <c r="C654" s="2"/>
      <c r="D654" s="2"/>
      <c r="E654" s="2"/>
    </row>
    <row r="655" spans="2:5" ht="12.75">
      <c r="B655" s="2"/>
      <c r="C655" s="2"/>
      <c r="D655" s="2"/>
      <c r="E655" s="2"/>
    </row>
    <row r="656" spans="2:5" ht="12.75">
      <c r="B656" s="2"/>
      <c r="C656" s="2"/>
      <c r="D656" s="2"/>
      <c r="E656" s="2"/>
    </row>
    <row r="657" spans="2:5" ht="12.75">
      <c r="B657" s="2"/>
      <c r="C657" s="2"/>
      <c r="D657" s="2"/>
      <c r="E657" s="2"/>
    </row>
    <row r="658" spans="2:5" ht="12.75">
      <c r="B658" s="2"/>
      <c r="C658" s="2"/>
      <c r="D658" s="2"/>
      <c r="E658" s="2"/>
    </row>
    <row r="659" spans="2:5" ht="12.75">
      <c r="B659" s="2"/>
      <c r="C659" s="2"/>
      <c r="D659" s="2"/>
      <c r="E659" s="2"/>
    </row>
    <row r="660" spans="2:5" ht="12.75">
      <c r="B660" s="2"/>
      <c r="C660" s="2"/>
      <c r="D660" s="2"/>
      <c r="E660" s="2"/>
    </row>
    <row r="661" spans="2:5" ht="12.75">
      <c r="B661" s="2"/>
      <c r="C661" s="2"/>
      <c r="D661" s="2"/>
      <c r="E661" s="2"/>
    </row>
    <row r="662" spans="2:5" ht="12.75">
      <c r="B662" s="2"/>
      <c r="C662" s="2"/>
      <c r="D662" s="2"/>
      <c r="E662" s="2"/>
    </row>
    <row r="663" spans="2:5" ht="12.75">
      <c r="B663" s="2"/>
      <c r="C663" s="2"/>
      <c r="D663" s="2"/>
      <c r="E663" s="2"/>
    </row>
    <row r="664" spans="2:5" ht="12.75">
      <c r="B664" s="2"/>
      <c r="C664" s="2"/>
      <c r="D664" s="2"/>
      <c r="E664" s="2"/>
    </row>
    <row r="665" spans="2:5" ht="12.75">
      <c r="B665" s="2"/>
      <c r="C665" s="2"/>
      <c r="D665" s="2"/>
      <c r="E665" s="2"/>
    </row>
    <row r="666" spans="2:5" ht="12.75">
      <c r="B666" s="2"/>
      <c r="C666" s="2"/>
      <c r="D666" s="2"/>
      <c r="E666" s="2"/>
    </row>
    <row r="667" spans="2:5" ht="12.75">
      <c r="B667" s="2"/>
      <c r="C667" s="2"/>
      <c r="D667" s="2"/>
      <c r="E667" s="2"/>
    </row>
    <row r="668" spans="2:5" ht="12.75">
      <c r="B668" s="2"/>
      <c r="C668" s="2"/>
      <c r="D668" s="2"/>
      <c r="E668" s="2"/>
    </row>
    <row r="669" spans="2:5" ht="12.75">
      <c r="B669" s="2"/>
      <c r="C669" s="2"/>
      <c r="D669" s="2"/>
      <c r="E669" s="2"/>
    </row>
    <row r="670" spans="2:5" ht="12.75">
      <c r="B670" s="2"/>
      <c r="C670" s="2"/>
      <c r="D670" s="2"/>
      <c r="E670" s="2"/>
    </row>
    <row r="671" spans="2:5" ht="12.75">
      <c r="B671" s="2"/>
      <c r="C671" s="2"/>
      <c r="D671" s="2"/>
      <c r="E671" s="2"/>
    </row>
    <row r="672" spans="2:5" ht="12.75">
      <c r="B672" s="2"/>
      <c r="C672" s="2"/>
      <c r="D672" s="2"/>
      <c r="E672" s="2"/>
    </row>
    <row r="673" spans="2:5" ht="12.75">
      <c r="B673" s="2"/>
      <c r="C673" s="2"/>
      <c r="D673" s="2"/>
      <c r="E673" s="2"/>
    </row>
    <row r="674" spans="2:5" ht="12.75">
      <c r="B674" s="2"/>
      <c r="C674" s="2"/>
      <c r="D674" s="2"/>
      <c r="E674" s="2"/>
    </row>
    <row r="675" spans="2:5" ht="12.75">
      <c r="B675" s="2"/>
      <c r="C675" s="2"/>
      <c r="D675" s="2"/>
      <c r="E675" s="2"/>
    </row>
    <row r="676" spans="2:5" ht="12.75">
      <c r="B676" s="2"/>
      <c r="C676" s="2"/>
      <c r="D676" s="2"/>
      <c r="E676" s="2"/>
    </row>
    <row r="677" spans="2:5" ht="12.75">
      <c r="B677" s="2"/>
      <c r="C677" s="2"/>
      <c r="D677" s="2"/>
      <c r="E677" s="2"/>
    </row>
    <row r="678" spans="2:5" ht="12.75">
      <c r="B678" s="2"/>
      <c r="C678" s="2"/>
      <c r="D678" s="2"/>
      <c r="E678" s="2"/>
    </row>
    <row r="679" spans="2:5" ht="12.75">
      <c r="B679" s="2"/>
      <c r="C679" s="2"/>
      <c r="D679" s="2"/>
      <c r="E679" s="2"/>
    </row>
    <row r="680" spans="2:5" ht="12.75">
      <c r="B680" s="2"/>
      <c r="C680" s="2"/>
      <c r="D680" s="2"/>
      <c r="E680" s="2"/>
    </row>
    <row r="681" spans="2:5" ht="12.75">
      <c r="B681" s="2"/>
      <c r="C681" s="2"/>
      <c r="D681" s="2"/>
      <c r="E681" s="2"/>
    </row>
    <row r="682" spans="2:5" ht="12.75">
      <c r="B682" s="2"/>
      <c r="C682" s="2"/>
      <c r="D682" s="2"/>
      <c r="E682" s="2"/>
    </row>
    <row r="683" spans="2:5" ht="12.75">
      <c r="B683" s="2"/>
      <c r="C683" s="2"/>
      <c r="D683" s="2"/>
      <c r="E683" s="2"/>
    </row>
    <row r="684" spans="2:5" ht="12.75">
      <c r="B684" s="2"/>
      <c r="C684" s="2"/>
      <c r="D684" s="2"/>
      <c r="E684" s="2"/>
    </row>
    <row r="685" spans="2:5" ht="12.75">
      <c r="B685" s="2"/>
      <c r="C685" s="2"/>
      <c r="D685" s="2"/>
      <c r="E685" s="2"/>
    </row>
    <row r="686" spans="2:5" ht="12.75">
      <c r="B686" s="2"/>
      <c r="C686" s="2"/>
      <c r="D686" s="2"/>
      <c r="E686" s="2"/>
    </row>
    <row r="687" spans="2:5" ht="12.75">
      <c r="B687" s="2"/>
      <c r="C687" s="2"/>
      <c r="D687" s="2"/>
      <c r="E687" s="2"/>
    </row>
    <row r="688" spans="2:5" ht="12.75">
      <c r="B688" s="2"/>
      <c r="C688" s="2"/>
      <c r="D688" s="2"/>
      <c r="E688" s="2"/>
    </row>
    <row r="689" spans="2:5" ht="12.75">
      <c r="B689" s="2"/>
      <c r="C689" s="2"/>
      <c r="D689" s="2"/>
      <c r="E689" s="2"/>
    </row>
    <row r="690" spans="2:5" ht="12.75">
      <c r="B690" s="2"/>
      <c r="C690" s="2"/>
      <c r="D690" s="2"/>
      <c r="E690" s="2"/>
    </row>
    <row r="691" spans="2:5" ht="12.75">
      <c r="B691" s="2"/>
      <c r="C691" s="2"/>
      <c r="D691" s="2"/>
      <c r="E691" s="2"/>
    </row>
    <row r="692" spans="2:5" ht="12.75">
      <c r="B692" s="2"/>
      <c r="C692" s="2"/>
      <c r="D692" s="2"/>
      <c r="E692" s="2"/>
    </row>
    <row r="693" spans="2:5" ht="12.75">
      <c r="B693" s="2"/>
      <c r="C693" s="2"/>
      <c r="D693" s="2"/>
      <c r="E693" s="2"/>
    </row>
    <row r="694" spans="2:5" ht="12.75">
      <c r="B694" s="2"/>
      <c r="C694" s="2"/>
      <c r="D694" s="2"/>
      <c r="E694" s="2"/>
    </row>
    <row r="695" spans="2:5" ht="12.75">
      <c r="B695" s="2"/>
      <c r="C695" s="2"/>
      <c r="D695" s="2"/>
      <c r="E695" s="2"/>
    </row>
    <row r="696" spans="2:5" ht="12.75">
      <c r="B696" s="2"/>
      <c r="C696" s="2"/>
      <c r="D696" s="2"/>
      <c r="E696" s="2"/>
    </row>
    <row r="697" spans="2:5" ht="12.75">
      <c r="B697" s="2"/>
      <c r="C697" s="2"/>
      <c r="D697" s="2"/>
      <c r="E697" s="2"/>
    </row>
    <row r="698" spans="2:5" ht="12.75">
      <c r="B698" s="2"/>
      <c r="C698" s="2"/>
      <c r="D698" s="2"/>
      <c r="E698" s="2"/>
    </row>
    <row r="699" spans="2:5" ht="12.75">
      <c r="B699" s="2"/>
      <c r="C699" s="2"/>
      <c r="D699" s="2"/>
      <c r="E699" s="2"/>
    </row>
    <row r="700" spans="2:5" ht="12.75">
      <c r="B700" s="2"/>
      <c r="C700" s="2"/>
      <c r="D700" s="2"/>
      <c r="E700" s="2"/>
    </row>
    <row r="701" spans="2:5" ht="12.75">
      <c r="B701" s="2"/>
      <c r="C701" s="2"/>
      <c r="D701" s="2"/>
      <c r="E701" s="2"/>
    </row>
    <row r="702" spans="2:5" ht="12.75">
      <c r="B702" s="2"/>
      <c r="C702" s="2"/>
      <c r="D702" s="2"/>
      <c r="E702" s="2"/>
    </row>
    <row r="703" spans="2:5" ht="12.75">
      <c r="B703" s="2"/>
      <c r="C703" s="2"/>
      <c r="D703" s="2"/>
      <c r="E703" s="2"/>
    </row>
    <row r="704" spans="2:5" ht="12.75">
      <c r="B704" s="2"/>
      <c r="C704" s="2"/>
      <c r="D704" s="2"/>
      <c r="E704" s="2"/>
    </row>
    <row r="705" spans="2:5" ht="12.75">
      <c r="B705" s="2"/>
      <c r="C705" s="2"/>
      <c r="D705" s="2"/>
      <c r="E705" s="2"/>
    </row>
    <row r="706" spans="2:5" ht="12.75">
      <c r="B706" s="2"/>
      <c r="C706" s="2"/>
      <c r="D706" s="2"/>
      <c r="E706" s="2"/>
    </row>
    <row r="707" spans="2:5" ht="12.75">
      <c r="B707" s="2"/>
      <c r="C707" s="2"/>
      <c r="D707" s="2"/>
      <c r="E707" s="2"/>
    </row>
    <row r="708" spans="2:5" ht="12.75">
      <c r="B708" s="2"/>
      <c r="C708" s="2"/>
      <c r="D708" s="2"/>
      <c r="E708" s="2"/>
    </row>
    <row r="709" spans="2:5" ht="12.75">
      <c r="B709" s="2"/>
      <c r="C709" s="2"/>
      <c r="D709" s="2"/>
      <c r="E709" s="2"/>
    </row>
    <row r="710" spans="2:5" ht="12.75">
      <c r="B710" s="2"/>
      <c r="C710" s="2"/>
      <c r="D710" s="2"/>
      <c r="E710" s="2"/>
    </row>
    <row r="711" spans="2:5" ht="12.75">
      <c r="B711" s="2"/>
      <c r="C711" s="2"/>
      <c r="D711" s="2"/>
      <c r="E711" s="2"/>
    </row>
    <row r="712" spans="2:5" ht="12.75">
      <c r="B712" s="2"/>
      <c r="C712" s="2"/>
      <c r="D712" s="2"/>
      <c r="E712" s="2"/>
    </row>
    <row r="713" spans="2:5" ht="12.75">
      <c r="B713" s="2"/>
      <c r="C713" s="2"/>
      <c r="D713" s="2"/>
      <c r="E713" s="2"/>
    </row>
    <row r="714" spans="2:5" ht="12.75">
      <c r="B714" s="2"/>
      <c r="C714" s="2"/>
      <c r="D714" s="2"/>
      <c r="E714" s="2"/>
    </row>
    <row r="715" spans="2:5" ht="12.75">
      <c r="B715" s="2"/>
      <c r="C715" s="2"/>
      <c r="D715" s="2"/>
      <c r="E715" s="2"/>
    </row>
    <row r="716" spans="2:5" ht="12.75">
      <c r="B716" s="2"/>
      <c r="C716" s="2"/>
      <c r="D716" s="2"/>
      <c r="E716" s="2"/>
    </row>
    <row r="717" spans="2:5" ht="12.75">
      <c r="B717" s="2"/>
      <c r="C717" s="2"/>
      <c r="D717" s="2"/>
      <c r="E717" s="2"/>
    </row>
    <row r="718" spans="2:5" ht="12.75">
      <c r="B718" s="2"/>
      <c r="C718" s="2"/>
      <c r="D718" s="2"/>
      <c r="E718" s="2"/>
    </row>
    <row r="719" spans="2:5" ht="12.75">
      <c r="B719" s="2"/>
      <c r="C719" s="2"/>
      <c r="D719" s="2"/>
      <c r="E719" s="2"/>
    </row>
    <row r="720" spans="2:5" ht="12.75">
      <c r="B720" s="2"/>
      <c r="C720" s="2"/>
      <c r="D720" s="2"/>
      <c r="E720" s="2"/>
    </row>
    <row r="721" spans="2:5" ht="12.75">
      <c r="B721" s="2"/>
      <c r="C721" s="2"/>
      <c r="D721" s="2"/>
      <c r="E721" s="2"/>
    </row>
    <row r="722" spans="2:5" ht="12.75">
      <c r="B722" s="2"/>
      <c r="C722" s="2"/>
      <c r="D722" s="2"/>
      <c r="E722" s="2"/>
    </row>
    <row r="723" spans="2:5" ht="12.75">
      <c r="B723" s="2"/>
      <c r="C723" s="2"/>
      <c r="D723" s="2"/>
      <c r="E723" s="2"/>
    </row>
    <row r="724" spans="2:5" ht="12.75">
      <c r="B724" s="2"/>
      <c r="C724" s="2"/>
      <c r="D724" s="2"/>
      <c r="E724" s="2"/>
    </row>
    <row r="725" spans="2:5" ht="12.75">
      <c r="B725" s="2"/>
      <c r="C725" s="2"/>
      <c r="D725" s="2"/>
      <c r="E725" s="2"/>
    </row>
    <row r="726" spans="2:5" ht="12.75">
      <c r="B726" s="2"/>
      <c r="C726" s="2"/>
      <c r="D726" s="2"/>
      <c r="E726" s="2"/>
    </row>
    <row r="727" spans="2:5" ht="12.75">
      <c r="B727" s="2"/>
      <c r="C727" s="2"/>
      <c r="D727" s="2"/>
      <c r="E727" s="2"/>
    </row>
    <row r="728" spans="2:5" ht="12.75">
      <c r="B728" s="2"/>
      <c r="C728" s="2"/>
      <c r="D728" s="2"/>
      <c r="E728" s="2"/>
    </row>
    <row r="729" spans="2:5" ht="12.75">
      <c r="B729" s="2"/>
      <c r="C729" s="2"/>
      <c r="D729" s="2"/>
      <c r="E729" s="2"/>
    </row>
    <row r="730" spans="2:5" ht="12.75">
      <c r="B730" s="2"/>
      <c r="C730" s="2"/>
      <c r="D730" s="2"/>
      <c r="E730" s="2"/>
    </row>
    <row r="731" spans="2:5" ht="12.75">
      <c r="B731" s="2"/>
      <c r="C731" s="2"/>
      <c r="D731" s="2"/>
      <c r="E731" s="2"/>
    </row>
    <row r="732" spans="2:5" ht="12.75">
      <c r="B732" s="2"/>
      <c r="C732" s="2"/>
      <c r="D732" s="2"/>
      <c r="E732" s="2"/>
    </row>
    <row r="733" spans="2:5" ht="12.75">
      <c r="B733" s="2"/>
      <c r="C733" s="2"/>
      <c r="D733" s="2"/>
      <c r="E733" s="2"/>
    </row>
    <row r="734" spans="2:5" ht="12.75">
      <c r="B734" s="2"/>
      <c r="C734" s="2"/>
      <c r="D734" s="2"/>
      <c r="E734" s="2"/>
    </row>
    <row r="735" spans="2:5" ht="12.75">
      <c r="B735" s="2"/>
      <c r="C735" s="2"/>
      <c r="D735" s="2"/>
      <c r="E735" s="2"/>
    </row>
    <row r="736" spans="2:5" ht="12.75">
      <c r="B736" s="2"/>
      <c r="C736" s="2"/>
      <c r="D736" s="2"/>
      <c r="E736" s="2"/>
    </row>
    <row r="737" spans="2:5" ht="12.75">
      <c r="B737" s="2"/>
      <c r="C737" s="2"/>
      <c r="D737" s="2"/>
      <c r="E737" s="2"/>
    </row>
    <row r="738" spans="2:5" ht="12.75">
      <c r="B738" s="2"/>
      <c r="C738" s="2"/>
      <c r="D738" s="2"/>
      <c r="E738" s="2"/>
    </row>
    <row r="739" spans="2:5" ht="12.75">
      <c r="B739" s="2"/>
      <c r="C739" s="2"/>
      <c r="D739" s="2"/>
      <c r="E739" s="2"/>
    </row>
    <row r="740" spans="2:5" ht="12.75">
      <c r="B740" s="2"/>
      <c r="C740" s="2"/>
      <c r="D740" s="2"/>
      <c r="E740" s="2"/>
    </row>
    <row r="741" spans="2:5" ht="12.75">
      <c r="B741" s="2"/>
      <c r="C741" s="2"/>
      <c r="D741" s="2"/>
      <c r="E741" s="2"/>
    </row>
    <row r="742" spans="2:5" ht="12.75">
      <c r="B742" s="2"/>
      <c r="C742" s="2"/>
      <c r="D742" s="2"/>
      <c r="E742" s="2"/>
    </row>
    <row r="743" spans="2:5" ht="12.75">
      <c r="B743" s="2"/>
      <c r="C743" s="2"/>
      <c r="D743" s="2"/>
      <c r="E743" s="2"/>
    </row>
    <row r="744" spans="2:5" ht="12.75">
      <c r="B744" s="2"/>
      <c r="C744" s="2"/>
      <c r="D744" s="2"/>
      <c r="E744" s="2"/>
    </row>
    <row r="745" spans="2:5" ht="12.75">
      <c r="B745" s="2"/>
      <c r="C745" s="2"/>
      <c r="D745" s="2"/>
      <c r="E745" s="2"/>
    </row>
    <row r="746" spans="2:5" ht="12.75">
      <c r="B746" s="2"/>
      <c r="C746" s="2"/>
      <c r="D746" s="2"/>
      <c r="E746" s="2"/>
    </row>
    <row r="747" spans="2:5" ht="12.75">
      <c r="B747" s="2"/>
      <c r="C747" s="2"/>
      <c r="D747" s="2"/>
      <c r="E747" s="2"/>
    </row>
    <row r="748" spans="2:5" ht="12.75">
      <c r="B748" s="2"/>
      <c r="C748" s="2"/>
      <c r="D748" s="2"/>
      <c r="E748" s="2"/>
    </row>
    <row r="749" spans="2:5" ht="12.75">
      <c r="B749" s="2"/>
      <c r="C749" s="2"/>
      <c r="D749" s="2"/>
      <c r="E749" s="2"/>
    </row>
    <row r="750" spans="2:5" ht="12.75">
      <c r="B750" s="2"/>
      <c r="C750" s="2"/>
      <c r="D750" s="2"/>
      <c r="E750" s="2"/>
    </row>
    <row r="751" spans="2:5" ht="12.75">
      <c r="B751" s="2"/>
      <c r="C751" s="2"/>
      <c r="D751" s="2"/>
      <c r="E751" s="2"/>
    </row>
    <row r="752" spans="2:5" ht="12.75">
      <c r="B752" s="2"/>
      <c r="C752" s="2"/>
      <c r="D752" s="2"/>
      <c r="E752" s="2"/>
    </row>
    <row r="753" spans="2:5" ht="12.75">
      <c r="B753" s="2"/>
      <c r="C753" s="2"/>
      <c r="D753" s="2"/>
      <c r="E753" s="2"/>
    </row>
    <row r="754" spans="2:5" ht="12.75">
      <c r="B754" s="2"/>
      <c r="C754" s="2"/>
      <c r="D754" s="2"/>
      <c r="E754" s="2"/>
    </row>
    <row r="755" spans="2:5" ht="12.75">
      <c r="B755" s="2"/>
      <c r="C755" s="2"/>
      <c r="D755" s="2"/>
      <c r="E755" s="2"/>
    </row>
    <row r="756" spans="2:5" ht="12.75">
      <c r="B756" s="2"/>
      <c r="C756" s="2"/>
      <c r="D756" s="2"/>
      <c r="E756" s="2"/>
    </row>
    <row r="757" spans="2:5" ht="12.75">
      <c r="B757" s="2"/>
      <c r="C757" s="2"/>
      <c r="D757" s="2"/>
      <c r="E757" s="2"/>
    </row>
    <row r="758" spans="2:5" ht="12.75">
      <c r="B758" s="2"/>
      <c r="C758" s="2"/>
      <c r="D758" s="2"/>
      <c r="E758" s="2"/>
    </row>
    <row r="759" spans="2:5" ht="12.75">
      <c r="B759" s="2"/>
      <c r="C759" s="2"/>
      <c r="D759" s="2"/>
      <c r="E759" s="2"/>
    </row>
    <row r="760" spans="2:5" ht="12.75">
      <c r="B760" s="2"/>
      <c r="C760" s="2"/>
      <c r="D760" s="2"/>
      <c r="E760" s="2"/>
    </row>
    <row r="761" spans="2:5" ht="12.75">
      <c r="B761" s="2"/>
      <c r="C761" s="2"/>
      <c r="D761" s="2"/>
      <c r="E761" s="2"/>
    </row>
    <row r="762" spans="2:5" ht="12.75">
      <c r="B762" s="2"/>
      <c r="C762" s="2"/>
      <c r="D762" s="2"/>
      <c r="E762" s="2"/>
    </row>
    <row r="763" spans="2:5" ht="12.75">
      <c r="B763" s="2"/>
      <c r="C763" s="2"/>
      <c r="D763" s="2"/>
      <c r="E763" s="2"/>
    </row>
    <row r="764" spans="2:5" ht="12.75">
      <c r="B764" s="2"/>
      <c r="C764" s="2"/>
      <c r="D764" s="2"/>
      <c r="E764" s="2"/>
    </row>
    <row r="765" spans="2:5" ht="12.75">
      <c r="B765" s="2"/>
      <c r="C765" s="2"/>
      <c r="D765" s="2"/>
      <c r="E765" s="2"/>
    </row>
    <row r="766" spans="2:5" ht="12.75">
      <c r="B766" s="2"/>
      <c r="C766" s="2"/>
      <c r="D766" s="2"/>
      <c r="E766" s="2"/>
    </row>
    <row r="767" spans="2:5" ht="12.75">
      <c r="B767" s="2"/>
      <c r="C767" s="2"/>
      <c r="D767" s="2"/>
      <c r="E767" s="2"/>
    </row>
    <row r="768" spans="2:5" ht="12.75">
      <c r="B768" s="2"/>
      <c r="C768" s="2"/>
      <c r="D768" s="2"/>
      <c r="E768" s="2"/>
    </row>
    <row r="769" spans="2:5" ht="12.75">
      <c r="B769" s="2"/>
      <c r="C769" s="2"/>
      <c r="D769" s="2"/>
      <c r="E769" s="2"/>
    </row>
    <row r="770" spans="2:5" ht="12.75">
      <c r="B770" s="2"/>
      <c r="C770" s="2"/>
      <c r="D770" s="2"/>
      <c r="E770" s="2"/>
    </row>
    <row r="771" spans="2:5" ht="12.75">
      <c r="B771" s="2"/>
      <c r="C771" s="2"/>
      <c r="D771" s="2"/>
      <c r="E771" s="2"/>
    </row>
    <row r="772" spans="2:5" ht="12.75">
      <c r="B772" s="2"/>
      <c r="C772" s="2"/>
      <c r="D772" s="2"/>
      <c r="E772" s="2"/>
    </row>
    <row r="773" spans="2:5" ht="12.75">
      <c r="B773" s="2"/>
      <c r="C773" s="2"/>
      <c r="D773" s="2"/>
      <c r="E773" s="2"/>
    </row>
    <row r="774" spans="2:5" ht="12.75">
      <c r="B774" s="2"/>
      <c r="C774" s="2"/>
      <c r="D774" s="2"/>
      <c r="E774" s="2"/>
    </row>
    <row r="775" spans="2:5" ht="12.75">
      <c r="B775" s="2"/>
      <c r="C775" s="2"/>
      <c r="D775" s="2"/>
      <c r="E775" s="2"/>
    </row>
    <row r="776" spans="2:5" ht="12.75">
      <c r="B776" s="2"/>
      <c r="C776" s="2"/>
      <c r="D776" s="2"/>
      <c r="E776" s="2"/>
    </row>
    <row r="777" spans="2:5" ht="12.75">
      <c r="B777" s="2"/>
      <c r="C777" s="2"/>
      <c r="D777" s="2"/>
      <c r="E777" s="2"/>
    </row>
    <row r="778" spans="2:5" ht="12.75">
      <c r="B778" s="2"/>
      <c r="C778" s="2"/>
      <c r="D778" s="2"/>
      <c r="E778" s="2"/>
    </row>
    <row r="779" spans="2:5" ht="12.75">
      <c r="B779" s="2"/>
      <c r="C779" s="2"/>
      <c r="D779" s="2"/>
      <c r="E779" s="2"/>
    </row>
    <row r="780" spans="2:5" ht="12.75">
      <c r="B780" s="2"/>
      <c r="C780" s="2"/>
      <c r="D780" s="2"/>
      <c r="E780" s="2"/>
    </row>
    <row r="781" spans="2:5" ht="12.75">
      <c r="B781" s="2"/>
      <c r="C781" s="2"/>
      <c r="D781" s="2"/>
      <c r="E781" s="2"/>
    </row>
    <row r="782" spans="2:5" ht="12.75">
      <c r="B782" s="2"/>
      <c r="C782" s="2"/>
      <c r="D782" s="2"/>
      <c r="E782" s="2"/>
    </row>
    <row r="783" spans="2:5" ht="12.75">
      <c r="B783" s="2"/>
      <c r="C783" s="2"/>
      <c r="D783" s="2"/>
      <c r="E783" s="2"/>
    </row>
    <row r="784" spans="2:5" ht="12.75">
      <c r="B784" s="2"/>
      <c r="C784" s="2"/>
      <c r="D784" s="2"/>
      <c r="E784" s="2"/>
    </row>
    <row r="785" spans="2:5" ht="12.75">
      <c r="B785" s="2"/>
      <c r="C785" s="2"/>
      <c r="D785" s="2"/>
      <c r="E785" s="2"/>
    </row>
    <row r="786" spans="2:5" ht="12.75">
      <c r="B786" s="2"/>
      <c r="C786" s="2"/>
      <c r="D786" s="2"/>
      <c r="E786" s="2"/>
    </row>
    <row r="787" spans="2:5" ht="12.75">
      <c r="B787" s="2"/>
      <c r="C787" s="2"/>
      <c r="D787" s="2"/>
      <c r="E787" s="2"/>
    </row>
    <row r="788" spans="2:5" ht="12.75">
      <c r="B788" s="2"/>
      <c r="C788" s="2"/>
      <c r="D788" s="2"/>
      <c r="E788" s="2"/>
    </row>
    <row r="789" spans="2:5" ht="12.75">
      <c r="B789" s="2"/>
      <c r="C789" s="2"/>
      <c r="D789" s="2"/>
      <c r="E789" s="2"/>
    </row>
    <row r="790" spans="2:5" ht="12.75">
      <c r="B790" s="2"/>
      <c r="C790" s="2"/>
      <c r="D790" s="2"/>
      <c r="E790" s="2"/>
    </row>
    <row r="791" spans="2:5" ht="12.75">
      <c r="B791" s="2"/>
      <c r="C791" s="2"/>
      <c r="D791" s="2"/>
      <c r="E791" s="2"/>
    </row>
    <row r="792" spans="2:5" ht="12.75">
      <c r="B792" s="2"/>
      <c r="C792" s="2"/>
      <c r="D792" s="2"/>
      <c r="E792" s="2"/>
    </row>
    <row r="793" spans="2:5" ht="12.75">
      <c r="B793" s="2"/>
      <c r="C793" s="2"/>
      <c r="D793" s="2"/>
      <c r="E793" s="2"/>
    </row>
    <row r="794" spans="2:5" ht="12.75">
      <c r="B794" s="2"/>
      <c r="C794" s="2"/>
      <c r="D794" s="2"/>
      <c r="E794" s="2"/>
    </row>
    <row r="795" spans="2:5" ht="12.75">
      <c r="B795" s="2"/>
      <c r="C795" s="2"/>
      <c r="D795" s="2"/>
      <c r="E795" s="2"/>
    </row>
    <row r="796" spans="2:5" ht="12.75">
      <c r="B796" s="2"/>
      <c r="C796" s="2"/>
      <c r="D796" s="2"/>
      <c r="E796" s="2"/>
    </row>
    <row r="797" spans="2:5" ht="12.75">
      <c r="B797" s="2"/>
      <c r="C797" s="2"/>
      <c r="D797" s="2"/>
      <c r="E797" s="2"/>
    </row>
    <row r="798" spans="2:5" ht="12.75">
      <c r="B798" s="2"/>
      <c r="C798" s="2"/>
      <c r="D798" s="2"/>
      <c r="E798" s="2"/>
    </row>
    <row r="799" spans="2:5" ht="12.75">
      <c r="B799" s="2"/>
      <c r="C799" s="2"/>
      <c r="D799" s="2"/>
      <c r="E799" s="2"/>
    </row>
    <row r="800" spans="2:5" ht="12.75">
      <c r="B800" s="2"/>
      <c r="C800" s="2"/>
      <c r="D800" s="2"/>
      <c r="E800" s="2"/>
    </row>
    <row r="801" spans="2:5" ht="12.75">
      <c r="B801" s="2"/>
      <c r="C801" s="2"/>
      <c r="D801" s="2"/>
      <c r="E801" s="2"/>
    </row>
    <row r="802" spans="2:5" ht="12.75">
      <c r="B802" s="2"/>
      <c r="C802" s="2"/>
      <c r="D802" s="2"/>
      <c r="E802" s="2"/>
    </row>
    <row r="803" spans="2:5" ht="12.75">
      <c r="B803" s="2"/>
      <c r="C803" s="2"/>
      <c r="D803" s="2"/>
      <c r="E803" s="2"/>
    </row>
    <row r="804" spans="2:5" ht="12.75">
      <c r="B804" s="2"/>
      <c r="C804" s="2"/>
      <c r="D804" s="2"/>
      <c r="E804" s="2"/>
    </row>
    <row r="805" spans="2:5" ht="12.75">
      <c r="B805" s="2"/>
      <c r="C805" s="2"/>
      <c r="D805" s="2"/>
      <c r="E805" s="2"/>
    </row>
    <row r="806" spans="2:5" ht="12.75">
      <c r="B806" s="2"/>
      <c r="C806" s="2"/>
      <c r="D806" s="2"/>
      <c r="E806" s="2"/>
    </row>
    <row r="807" spans="2:5" ht="12.75">
      <c r="B807" s="2"/>
      <c r="C807" s="2"/>
      <c r="D807" s="2"/>
      <c r="E807" s="2"/>
    </row>
    <row r="808" spans="2:5" ht="12.75">
      <c r="B808" s="2"/>
      <c r="C808" s="2"/>
      <c r="D808" s="2"/>
      <c r="E808" s="2"/>
    </row>
    <row r="809" spans="2:5" ht="12.75">
      <c r="B809" s="2"/>
      <c r="C809" s="2"/>
      <c r="D809" s="2"/>
      <c r="E809" s="2"/>
    </row>
    <row r="810" spans="2:5" ht="12.75">
      <c r="B810" s="2"/>
      <c r="C810" s="2"/>
      <c r="D810" s="2"/>
      <c r="E810" s="2"/>
    </row>
    <row r="811" spans="2:5" ht="12.75">
      <c r="B811" s="2"/>
      <c r="C811" s="2"/>
      <c r="D811" s="2"/>
      <c r="E811" s="2"/>
    </row>
    <row r="812" spans="2:5" ht="12.75">
      <c r="B812" s="2"/>
      <c r="C812" s="2"/>
      <c r="D812" s="2"/>
      <c r="E812" s="2"/>
    </row>
    <row r="813" spans="2:5" ht="12.75">
      <c r="B813" s="2"/>
      <c r="C813" s="2"/>
      <c r="D813" s="2"/>
      <c r="E813" s="2"/>
    </row>
    <row r="814" spans="2:5" ht="12.75">
      <c r="B814" s="2"/>
      <c r="C814" s="2"/>
      <c r="D814" s="2"/>
      <c r="E814" s="2"/>
    </row>
    <row r="815" spans="2:5" ht="12.75">
      <c r="B815" s="2"/>
      <c r="C815" s="2"/>
      <c r="D815" s="2"/>
      <c r="E815" s="2"/>
    </row>
    <row r="816" spans="2:5" ht="12.75">
      <c r="B816" s="2"/>
      <c r="C816" s="2"/>
      <c r="D816" s="2"/>
      <c r="E816" s="2"/>
    </row>
    <row r="817" spans="2:5" ht="12.75">
      <c r="B817" s="2"/>
      <c r="C817" s="2"/>
      <c r="D817" s="2"/>
      <c r="E817" s="2"/>
    </row>
    <row r="818" spans="2:5" ht="12.75">
      <c r="B818" s="2"/>
      <c r="C818" s="2"/>
      <c r="D818" s="2"/>
      <c r="E818" s="2"/>
    </row>
    <row r="819" spans="2:5" ht="12.75">
      <c r="B819" s="2"/>
      <c r="C819" s="2"/>
      <c r="D819" s="2"/>
      <c r="E819" s="2"/>
    </row>
    <row r="820" spans="2:5" ht="12.75">
      <c r="B820" s="2"/>
      <c r="C820" s="2"/>
      <c r="D820" s="2"/>
      <c r="E820" s="2"/>
    </row>
    <row r="821" spans="2:5" ht="12.75">
      <c r="B821" s="2"/>
      <c r="C821" s="2"/>
      <c r="D821" s="2"/>
      <c r="E821" s="2"/>
    </row>
    <row r="822" spans="2:5" ht="12.75">
      <c r="B822" s="2"/>
      <c r="C822" s="2"/>
      <c r="D822" s="2"/>
      <c r="E822" s="2"/>
    </row>
    <row r="823" spans="2:5" ht="12.75">
      <c r="B823" s="2"/>
      <c r="C823" s="2"/>
      <c r="D823" s="2"/>
      <c r="E823" s="2"/>
    </row>
    <row r="824" spans="2:5" ht="12.75">
      <c r="B824" s="2"/>
      <c r="C824" s="2"/>
      <c r="D824" s="2"/>
      <c r="E824" s="2"/>
    </row>
    <row r="825" spans="2:5" ht="12.75">
      <c r="B825" s="2"/>
      <c r="C825" s="2"/>
      <c r="D825" s="2"/>
      <c r="E825" s="2"/>
    </row>
    <row r="826" spans="2:5" ht="12.75">
      <c r="B826" s="2"/>
      <c r="C826" s="2"/>
      <c r="D826" s="2"/>
      <c r="E826" s="2"/>
    </row>
    <row r="827" spans="2:5" ht="12.75">
      <c r="B827" s="2"/>
      <c r="C827" s="2"/>
      <c r="D827" s="2"/>
      <c r="E827" s="2"/>
    </row>
    <row r="828" spans="2:5" ht="12.75">
      <c r="B828" s="2"/>
      <c r="C828" s="2"/>
      <c r="D828" s="2"/>
      <c r="E828" s="2"/>
    </row>
    <row r="829" spans="2:5" ht="12.75">
      <c r="B829" s="2"/>
      <c r="C829" s="2"/>
      <c r="D829" s="2"/>
      <c r="E829" s="2"/>
    </row>
    <row r="830" spans="2:5" ht="12.75">
      <c r="B830" s="2"/>
      <c r="C830" s="2"/>
      <c r="D830" s="2"/>
      <c r="E830" s="2"/>
    </row>
    <row r="831" spans="2:5" ht="12.75">
      <c r="B831" s="2"/>
      <c r="C831" s="2"/>
      <c r="D831" s="2"/>
      <c r="E831" s="2"/>
    </row>
    <row r="832" spans="2:5" ht="12.75">
      <c r="B832" s="2"/>
      <c r="C832" s="2"/>
      <c r="D832" s="2"/>
      <c r="E832" s="2"/>
    </row>
    <row r="833" spans="2:5" ht="12.75">
      <c r="B833" s="2"/>
      <c r="C833" s="2"/>
      <c r="D833" s="2"/>
      <c r="E833" s="2"/>
    </row>
    <row r="834" spans="2:5" ht="12.75">
      <c r="B834" s="2"/>
      <c r="C834" s="2"/>
      <c r="D834" s="2"/>
      <c r="E834" s="2"/>
    </row>
    <row r="835" spans="2:5" ht="12.75">
      <c r="B835" s="2"/>
      <c r="C835" s="2"/>
      <c r="D835" s="2"/>
      <c r="E835" s="2"/>
    </row>
    <row r="836" spans="2:5" ht="12.75">
      <c r="B836" s="2"/>
      <c r="C836" s="2"/>
      <c r="D836" s="2"/>
      <c r="E836" s="2"/>
    </row>
    <row r="837" spans="2:5" ht="12.75">
      <c r="B837" s="2"/>
      <c r="C837" s="2"/>
      <c r="D837" s="2"/>
      <c r="E837" s="2"/>
    </row>
    <row r="838" spans="2:5" ht="12.75">
      <c r="B838" s="2"/>
      <c r="C838" s="2"/>
      <c r="D838" s="2"/>
      <c r="E838" s="2"/>
    </row>
    <row r="839" spans="2:5" ht="12.75">
      <c r="B839" s="2"/>
      <c r="C839" s="2"/>
      <c r="D839" s="2"/>
      <c r="E839" s="2"/>
    </row>
    <row r="840" spans="2:5" ht="12.75">
      <c r="B840" s="2"/>
      <c r="C840" s="2"/>
      <c r="D840" s="2"/>
      <c r="E840" s="2"/>
    </row>
    <row r="841" spans="2:5" ht="12.75">
      <c r="B841" s="2"/>
      <c r="C841" s="2"/>
      <c r="D841" s="2"/>
      <c r="E841" s="2"/>
    </row>
    <row r="842" spans="2:5" ht="12.75">
      <c r="B842" s="2"/>
      <c r="C842" s="2"/>
      <c r="D842" s="2"/>
      <c r="E842" s="2"/>
    </row>
    <row r="843" spans="2:5" ht="12.75">
      <c r="B843" s="2"/>
      <c r="C843" s="2"/>
      <c r="D843" s="2"/>
      <c r="E843" s="2"/>
    </row>
    <row r="844" spans="2:5" ht="12.75">
      <c r="B844" s="2"/>
      <c r="C844" s="2"/>
      <c r="D844" s="2"/>
      <c r="E844" s="2"/>
    </row>
    <row r="845" spans="2:5" ht="12.75">
      <c r="B845" s="2"/>
      <c r="C845" s="2"/>
      <c r="D845" s="2"/>
      <c r="E845" s="2"/>
    </row>
    <row r="846" spans="2:5" ht="12.75">
      <c r="B846" s="2"/>
      <c r="C846" s="2"/>
      <c r="D846" s="2"/>
      <c r="E846" s="2"/>
    </row>
    <row r="847" spans="2:5" ht="12.75">
      <c r="B847" s="2"/>
      <c r="C847" s="2"/>
      <c r="D847" s="2"/>
      <c r="E847" s="2"/>
    </row>
    <row r="848" spans="2:5" ht="12.75">
      <c r="B848" s="2"/>
      <c r="C848" s="2"/>
      <c r="D848" s="2"/>
      <c r="E848" s="2"/>
    </row>
    <row r="849" spans="2:5" ht="12.75">
      <c r="B849" s="2"/>
      <c r="C849" s="2"/>
      <c r="D849" s="2"/>
      <c r="E849" s="2"/>
    </row>
    <row r="850" spans="2:5" ht="12.75">
      <c r="B850" s="2"/>
      <c r="C850" s="2"/>
      <c r="D850" s="2"/>
      <c r="E850" s="2"/>
    </row>
    <row r="851" spans="2:5" ht="12.75">
      <c r="B851" s="2"/>
      <c r="C851" s="2"/>
      <c r="D851" s="2"/>
      <c r="E851" s="2"/>
    </row>
    <row r="852" spans="2:5" ht="12.75">
      <c r="B852" s="2"/>
      <c r="C852" s="2"/>
      <c r="D852" s="2"/>
      <c r="E852" s="2"/>
    </row>
    <row r="853" spans="2:5" ht="12.75">
      <c r="B853" s="2"/>
      <c r="C853" s="2"/>
      <c r="D853" s="2"/>
      <c r="E853" s="2"/>
    </row>
    <row r="854" spans="2:5" ht="12.75">
      <c r="B854" s="2"/>
      <c r="C854" s="2"/>
      <c r="D854" s="2"/>
      <c r="E854" s="2"/>
    </row>
    <row r="855" spans="2:5" ht="12.75">
      <c r="B855" s="2"/>
      <c r="C855" s="2"/>
      <c r="D855" s="2"/>
      <c r="E855" s="2"/>
    </row>
    <row r="856" spans="2:5" ht="12.75">
      <c r="B856" s="2"/>
      <c r="C856" s="2"/>
      <c r="D856" s="2"/>
      <c r="E856" s="2"/>
    </row>
    <row r="857" spans="2:5" ht="12.75">
      <c r="B857" s="2"/>
      <c r="C857" s="2"/>
      <c r="D857" s="2"/>
      <c r="E857" s="2"/>
    </row>
    <row r="858" spans="2:5" ht="12.75">
      <c r="B858" s="2"/>
      <c r="C858" s="2"/>
      <c r="D858" s="2"/>
      <c r="E858" s="2"/>
    </row>
    <row r="859" spans="2:5" ht="12.75">
      <c r="B859" s="2"/>
      <c r="C859" s="2"/>
      <c r="D859" s="2"/>
      <c r="E859" s="2"/>
    </row>
    <row r="860" spans="2:5" ht="12.75">
      <c r="B860" s="2"/>
      <c r="C860" s="2"/>
      <c r="D860" s="2"/>
      <c r="E860" s="2"/>
    </row>
    <row r="861" spans="2:5" ht="12.75">
      <c r="B861" s="2"/>
      <c r="C861" s="2"/>
      <c r="D861" s="2"/>
      <c r="E861" s="2"/>
    </row>
    <row r="862" spans="2:5" ht="12.75">
      <c r="B862" s="2"/>
      <c r="C862" s="2"/>
      <c r="D862" s="2"/>
      <c r="E862" s="2"/>
    </row>
    <row r="863" spans="2:5" ht="12.75">
      <c r="B863" s="2"/>
      <c r="C863" s="2"/>
      <c r="D863" s="2"/>
      <c r="E863" s="2"/>
    </row>
    <row r="864" spans="2:5" ht="12.75">
      <c r="B864" s="2"/>
      <c r="C864" s="2"/>
      <c r="D864" s="2"/>
      <c r="E864" s="2"/>
    </row>
    <row r="865" spans="2:5" ht="12.75">
      <c r="B865" s="2"/>
      <c r="C865" s="2"/>
      <c r="D865" s="2"/>
      <c r="E865" s="2"/>
    </row>
    <row r="866" spans="2:5" ht="12.75">
      <c r="B866" s="2"/>
      <c r="C866" s="2"/>
      <c r="D866" s="2"/>
      <c r="E866" s="2"/>
    </row>
    <row r="867" spans="2:5" ht="12.75">
      <c r="B867" s="2"/>
      <c r="C867" s="2"/>
      <c r="D867" s="2"/>
      <c r="E867" s="2"/>
    </row>
    <row r="868" spans="2:5" ht="12.75">
      <c r="B868" s="2"/>
      <c r="C868" s="2"/>
      <c r="D868" s="2"/>
      <c r="E868" s="2"/>
    </row>
    <row r="869" spans="2:5" ht="12.75">
      <c r="B869" s="2"/>
      <c r="C869" s="2"/>
      <c r="D869" s="2"/>
      <c r="E869" s="2"/>
    </row>
    <row r="870" spans="2:5" ht="12.75">
      <c r="B870" s="2"/>
      <c r="C870" s="2"/>
      <c r="D870" s="2"/>
      <c r="E870" s="2"/>
    </row>
    <row r="871" spans="2:5" ht="12.75">
      <c r="B871" s="2"/>
      <c r="C871" s="2"/>
      <c r="D871" s="2"/>
      <c r="E871" s="2"/>
    </row>
    <row r="872" spans="2:5" ht="12.75">
      <c r="B872" s="2"/>
      <c r="C872" s="2"/>
      <c r="D872" s="2"/>
      <c r="E872" s="2"/>
    </row>
    <row r="873" spans="2:5" ht="12.75">
      <c r="B873" s="2"/>
      <c r="C873" s="2"/>
      <c r="D873" s="2"/>
      <c r="E873" s="2"/>
    </row>
    <row r="874" spans="2:5" ht="12.75">
      <c r="B874" s="2"/>
      <c r="C874" s="2"/>
      <c r="D874" s="2"/>
      <c r="E874" s="2"/>
    </row>
    <row r="875" spans="2:5" ht="12.75">
      <c r="B875" s="2"/>
      <c r="C875" s="2"/>
      <c r="D875" s="2"/>
      <c r="E875" s="2"/>
    </row>
    <row r="876" spans="2:5" ht="12.75">
      <c r="B876" s="2"/>
      <c r="C876" s="2"/>
      <c r="D876" s="2"/>
      <c r="E876" s="2"/>
    </row>
    <row r="877" spans="2:5" ht="12.75">
      <c r="B877" s="2"/>
      <c r="C877" s="2"/>
      <c r="D877" s="2"/>
      <c r="E877" s="2"/>
    </row>
    <row r="878" spans="2:5" ht="12.75">
      <c r="B878" s="2"/>
      <c r="C878" s="2"/>
      <c r="D878" s="2"/>
      <c r="E878" s="2"/>
    </row>
    <row r="879" spans="2:5" ht="12.75">
      <c r="B879" s="2"/>
      <c r="C879" s="2"/>
      <c r="D879" s="2"/>
      <c r="E879" s="2"/>
    </row>
    <row r="880" spans="2:5" ht="12.75">
      <c r="B880" s="2"/>
      <c r="C880" s="2"/>
      <c r="D880" s="2"/>
      <c r="E880" s="2"/>
    </row>
    <row r="881" spans="2:5" ht="12.75">
      <c r="B881" s="2"/>
      <c r="C881" s="2"/>
      <c r="D881" s="2"/>
      <c r="E881" s="2"/>
    </row>
    <row r="882" spans="2:5" ht="12.75">
      <c r="B882" s="2"/>
      <c r="C882" s="2"/>
      <c r="D882" s="2"/>
      <c r="E882" s="2"/>
    </row>
    <row r="883" spans="2:5" ht="12.75">
      <c r="B883" s="2"/>
      <c r="C883" s="2"/>
      <c r="D883" s="2"/>
      <c r="E883" s="2"/>
    </row>
    <row r="884" spans="2:5" ht="12.75">
      <c r="B884" s="2"/>
      <c r="C884" s="2"/>
      <c r="D884" s="2"/>
      <c r="E884" s="2"/>
    </row>
    <row r="885" spans="2:5" ht="12.75">
      <c r="B885" s="2"/>
      <c r="C885" s="2"/>
      <c r="D885" s="2"/>
      <c r="E885" s="2"/>
    </row>
    <row r="886" spans="2:5" ht="12.75">
      <c r="B886" s="2"/>
      <c r="C886" s="2"/>
      <c r="D886" s="2"/>
      <c r="E886" s="2"/>
    </row>
    <row r="887" spans="2:5" ht="12.75">
      <c r="B887" s="2"/>
      <c r="C887" s="2"/>
      <c r="D887" s="2"/>
      <c r="E887" s="2"/>
    </row>
    <row r="888" spans="2:5" ht="12.75">
      <c r="B888" s="2"/>
      <c r="C888" s="2"/>
      <c r="D888" s="2"/>
      <c r="E888" s="2"/>
    </row>
    <row r="889" spans="2:5" ht="12.75">
      <c r="B889" s="2"/>
      <c r="C889" s="2"/>
      <c r="D889" s="2"/>
      <c r="E889" s="2"/>
    </row>
    <row r="890" spans="2:5" ht="12.75">
      <c r="B890" s="2"/>
      <c r="C890" s="2"/>
      <c r="D890" s="2"/>
      <c r="E890" s="2"/>
    </row>
    <row r="891" spans="2:5" ht="12.75">
      <c r="B891" s="2"/>
      <c r="C891" s="2"/>
      <c r="D891" s="2"/>
      <c r="E891" s="2"/>
    </row>
    <row r="892" spans="2:5" ht="12.75">
      <c r="B892" s="2"/>
      <c r="C892" s="2"/>
      <c r="D892" s="2"/>
      <c r="E892" s="2"/>
    </row>
    <row r="893" spans="2:5" ht="12.75">
      <c r="B893" s="2"/>
      <c r="C893" s="2"/>
      <c r="D893" s="2"/>
      <c r="E893" s="2"/>
    </row>
    <row r="894" spans="2:5" ht="12.75">
      <c r="B894" s="2"/>
      <c r="C894" s="2"/>
      <c r="D894" s="2"/>
      <c r="E894" s="2"/>
    </row>
    <row r="895" spans="2:5" ht="12.75">
      <c r="B895" s="2"/>
      <c r="C895" s="2"/>
      <c r="D895" s="2"/>
      <c r="E895" s="2"/>
    </row>
    <row r="896" spans="2:5" ht="12.75">
      <c r="B896" s="2"/>
      <c r="C896" s="2"/>
      <c r="D896" s="2"/>
      <c r="E896" s="2"/>
    </row>
    <row r="897" spans="2:5" ht="12.75">
      <c r="B897" s="2"/>
      <c r="C897" s="2"/>
      <c r="D897" s="2"/>
      <c r="E897" s="2"/>
    </row>
    <row r="898" spans="2:5" ht="12.75">
      <c r="B898" s="2"/>
      <c r="C898" s="2"/>
      <c r="D898" s="2"/>
      <c r="E898" s="2"/>
    </row>
    <row r="899" spans="2:5" ht="12.75">
      <c r="B899" s="2"/>
      <c r="C899" s="2"/>
      <c r="D899" s="2"/>
      <c r="E899" s="2"/>
    </row>
    <row r="900" spans="2:5" ht="12.75">
      <c r="B900" s="2"/>
      <c r="C900" s="2"/>
      <c r="D900" s="2"/>
      <c r="E900" s="2"/>
    </row>
    <row r="901" spans="2:5" ht="12.75">
      <c r="B901" s="2"/>
      <c r="C901" s="2"/>
      <c r="D901" s="2"/>
      <c r="E901" s="2"/>
    </row>
    <row r="902" spans="2:5" ht="12.75">
      <c r="B902" s="2"/>
      <c r="C902" s="2"/>
      <c r="D902" s="2"/>
      <c r="E902" s="2"/>
    </row>
    <row r="903" spans="2:5" ht="12.75">
      <c r="B903" s="2"/>
      <c r="C903" s="2"/>
      <c r="D903" s="2"/>
      <c r="E903" s="2"/>
    </row>
    <row r="904" spans="2:5" ht="12.75">
      <c r="B904" s="2"/>
      <c r="C904" s="2"/>
      <c r="D904" s="2"/>
      <c r="E904" s="2"/>
    </row>
    <row r="905" spans="2:5" ht="12.75">
      <c r="B905" s="2"/>
      <c r="C905" s="2"/>
      <c r="D905" s="2"/>
      <c r="E905" s="2"/>
    </row>
    <row r="906" spans="2:5" ht="12.75">
      <c r="B906" s="2"/>
      <c r="C906" s="2"/>
      <c r="D906" s="2"/>
      <c r="E906" s="2"/>
    </row>
    <row r="907" spans="2:5" ht="12.75">
      <c r="B907" s="2"/>
      <c r="C907" s="2"/>
      <c r="D907" s="2"/>
      <c r="E907" s="2"/>
    </row>
    <row r="908" spans="2:5" ht="12.75">
      <c r="B908" s="2"/>
      <c r="C908" s="2"/>
      <c r="D908" s="2"/>
      <c r="E908" s="2"/>
    </row>
    <row r="909" spans="2:5" ht="12.75">
      <c r="B909" s="2"/>
      <c r="C909" s="2"/>
      <c r="D909" s="2"/>
      <c r="E909" s="2"/>
    </row>
    <row r="910" spans="2:5" ht="12.75">
      <c r="B910" s="2"/>
      <c r="C910" s="2"/>
      <c r="D910" s="2"/>
      <c r="E910" s="2"/>
    </row>
    <row r="911" spans="2:5" ht="12.75">
      <c r="B911" s="2"/>
      <c r="C911" s="2"/>
      <c r="D911" s="2"/>
      <c r="E911" s="2"/>
    </row>
    <row r="912" spans="2:5" ht="12.75">
      <c r="B912" s="2"/>
      <c r="C912" s="2"/>
      <c r="D912" s="2"/>
      <c r="E912" s="2"/>
    </row>
    <row r="913" spans="2:5" ht="12.75">
      <c r="B913" s="2"/>
      <c r="C913" s="2"/>
      <c r="D913" s="2"/>
      <c r="E913" s="2"/>
    </row>
    <row r="914" spans="2:5" ht="12.75">
      <c r="B914" s="2"/>
      <c r="C914" s="2"/>
      <c r="D914" s="2"/>
      <c r="E914" s="2"/>
    </row>
    <row r="915" spans="2:5" ht="12.75">
      <c r="B915" s="2"/>
      <c r="C915" s="2"/>
      <c r="D915" s="2"/>
      <c r="E915" s="2"/>
    </row>
    <row r="916" spans="2:5" ht="12.75">
      <c r="B916" s="2"/>
      <c r="C916" s="2"/>
      <c r="D916" s="2"/>
      <c r="E916" s="2"/>
    </row>
    <row r="917" spans="2:5" ht="12.75">
      <c r="B917" s="2"/>
      <c r="C917" s="2"/>
      <c r="D917" s="2"/>
      <c r="E917" s="2"/>
    </row>
    <row r="918" spans="2:5" ht="12.75">
      <c r="B918" s="2"/>
      <c r="C918" s="2"/>
      <c r="D918" s="2"/>
      <c r="E918" s="2"/>
    </row>
    <row r="919" spans="2:5" ht="12.75">
      <c r="B919" s="2"/>
      <c r="C919" s="2"/>
      <c r="D919" s="2"/>
      <c r="E919" s="2"/>
    </row>
    <row r="920" spans="2:5" ht="12.75">
      <c r="B920" s="2"/>
      <c r="C920" s="2"/>
      <c r="D920" s="2"/>
      <c r="E920" s="2"/>
    </row>
    <row r="921" spans="2:5" ht="12.75">
      <c r="B921" s="2"/>
      <c r="C921" s="2"/>
      <c r="D921" s="2"/>
      <c r="E921" s="2"/>
    </row>
    <row r="922" spans="2:5" ht="12.75">
      <c r="B922" s="2"/>
      <c r="C922" s="2"/>
      <c r="D922" s="2"/>
      <c r="E922" s="2"/>
    </row>
    <row r="923" spans="2:5" ht="12.75">
      <c r="B923" s="2"/>
      <c r="C923" s="2"/>
      <c r="D923" s="2"/>
      <c r="E923" s="2"/>
    </row>
    <row r="924" spans="2:5" ht="12.75">
      <c r="B924" s="2"/>
      <c r="C924" s="2"/>
      <c r="D924" s="2"/>
      <c r="E924" s="2"/>
    </row>
    <row r="925" spans="2:5" ht="12.75">
      <c r="B925" s="2"/>
      <c r="C925" s="2"/>
      <c r="D925" s="2"/>
      <c r="E925" s="2"/>
    </row>
    <row r="926" spans="2:5" ht="12.75">
      <c r="B926" s="2"/>
      <c r="C926" s="2"/>
      <c r="D926" s="2"/>
      <c r="E926" s="2"/>
    </row>
    <row r="927" spans="2:5" ht="12.75">
      <c r="B927" s="2"/>
      <c r="C927" s="2"/>
      <c r="D927" s="2"/>
      <c r="E927" s="2"/>
    </row>
    <row r="928" spans="2:5" ht="12.75">
      <c r="B928" s="2"/>
      <c r="C928" s="2"/>
      <c r="D928" s="2"/>
      <c r="E928" s="2"/>
    </row>
    <row r="929" spans="2:5" ht="12.75">
      <c r="B929" s="2"/>
      <c r="C929" s="2"/>
      <c r="D929" s="2"/>
      <c r="E929" s="2"/>
    </row>
    <row r="930" spans="2:5" ht="12.75">
      <c r="B930" s="2"/>
      <c r="C930" s="2"/>
      <c r="D930" s="2"/>
      <c r="E930" s="2"/>
    </row>
    <row r="931" spans="2:5" ht="12.75">
      <c r="B931" s="2"/>
      <c r="C931" s="2"/>
      <c r="D931" s="2"/>
      <c r="E931" s="2"/>
    </row>
    <row r="932" spans="2:5" ht="12.75">
      <c r="B932" s="2"/>
      <c r="C932" s="2"/>
      <c r="D932" s="2"/>
      <c r="E932" s="2"/>
    </row>
    <row r="933" spans="2:5" ht="12.75">
      <c r="B933" s="2"/>
      <c r="C933" s="2"/>
      <c r="D933" s="2"/>
      <c r="E933" s="2"/>
    </row>
    <row r="934" spans="2:5" ht="12.75">
      <c r="B934" s="2"/>
      <c r="C934" s="2"/>
      <c r="D934" s="2"/>
      <c r="E934" s="2"/>
    </row>
    <row r="935" spans="2:5" ht="12.75">
      <c r="B935" s="2"/>
      <c r="C935" s="2"/>
      <c r="D935" s="2"/>
      <c r="E935" s="2"/>
    </row>
    <row r="936" spans="2:5" ht="12.75">
      <c r="B936" s="2"/>
      <c r="C936" s="2"/>
      <c r="D936" s="2"/>
      <c r="E936" s="2"/>
    </row>
    <row r="937" spans="2:5" ht="12.75">
      <c r="B937" s="2"/>
      <c r="C937" s="2"/>
      <c r="D937" s="2"/>
      <c r="E937" s="2"/>
    </row>
    <row r="938" spans="2:5" ht="12.75">
      <c r="B938" s="2"/>
      <c r="C938" s="2"/>
      <c r="D938" s="2"/>
      <c r="E938" s="2"/>
    </row>
    <row r="939" spans="2:5" ht="12.75">
      <c r="B939" s="2"/>
      <c r="C939" s="2"/>
      <c r="D939" s="2"/>
      <c r="E939" s="2"/>
    </row>
    <row r="940" spans="2:5" ht="12.75">
      <c r="B940" s="2"/>
      <c r="C940" s="2"/>
      <c r="D940" s="2"/>
      <c r="E940" s="2"/>
    </row>
    <row r="941" spans="2:5" ht="12.75">
      <c r="B941" s="2"/>
      <c r="C941" s="2"/>
      <c r="D941" s="2"/>
      <c r="E941" s="2"/>
    </row>
    <row r="942" spans="2:5" ht="12.75">
      <c r="B942" s="2"/>
      <c r="C942" s="2"/>
      <c r="D942" s="2"/>
      <c r="E942" s="2"/>
    </row>
    <row r="943" spans="2:5" ht="12.75">
      <c r="B943" s="2"/>
      <c r="C943" s="2"/>
      <c r="D943" s="2"/>
      <c r="E943" s="2"/>
    </row>
    <row r="944" spans="2:5" ht="12.75">
      <c r="B944" s="2"/>
      <c r="C944" s="2"/>
      <c r="D944" s="2"/>
      <c r="E944" s="2"/>
    </row>
    <row r="945" spans="2:5" ht="12.75">
      <c r="B945" s="2"/>
      <c r="C945" s="2"/>
      <c r="D945" s="2"/>
      <c r="E945" s="2"/>
    </row>
    <row r="946" spans="2:5" ht="12.75">
      <c r="B946" s="2"/>
      <c r="C946" s="2"/>
      <c r="D946" s="2"/>
      <c r="E946" s="2"/>
    </row>
    <row r="947" spans="2:5" ht="12.75">
      <c r="B947" s="2"/>
      <c r="C947" s="2"/>
      <c r="D947" s="2"/>
      <c r="E947" s="2"/>
    </row>
    <row r="948" spans="2:5" ht="12.75">
      <c r="B948" s="2"/>
      <c r="C948" s="2"/>
      <c r="D948" s="2"/>
      <c r="E948" s="2"/>
    </row>
    <row r="949" spans="2:5" ht="12.75">
      <c r="B949" s="2"/>
      <c r="C949" s="2"/>
      <c r="D949" s="2"/>
      <c r="E949" s="2"/>
    </row>
    <row r="950" spans="2:5" ht="12.75">
      <c r="B950" s="2"/>
      <c r="C950" s="2"/>
      <c r="D950" s="2"/>
      <c r="E950" s="2"/>
    </row>
    <row r="951" spans="2:5" ht="12.75">
      <c r="B951" s="2"/>
      <c r="C951" s="2"/>
      <c r="D951" s="2"/>
      <c r="E951" s="2"/>
    </row>
    <row r="952" spans="2:5" ht="12.75">
      <c r="B952" s="2"/>
      <c r="C952" s="2"/>
      <c r="D952" s="2"/>
      <c r="E952" s="2"/>
    </row>
    <row r="953" spans="2:5" ht="12.75">
      <c r="B953" s="2"/>
      <c r="C953" s="2"/>
      <c r="D953" s="2"/>
      <c r="E953" s="2"/>
    </row>
    <row r="954" spans="2:5" ht="12.75">
      <c r="B954" s="2"/>
      <c r="C954" s="2"/>
      <c r="D954" s="2"/>
      <c r="E954" s="2"/>
    </row>
    <row r="955" spans="2:5" ht="12.75">
      <c r="B955" s="2"/>
      <c r="C955" s="2"/>
      <c r="D955" s="2"/>
      <c r="E955" s="2"/>
    </row>
    <row r="956" spans="2:5" ht="12.75">
      <c r="B956" s="2"/>
      <c r="C956" s="2"/>
      <c r="D956" s="2"/>
      <c r="E956" s="2"/>
    </row>
    <row r="957" spans="2:5" ht="12.75">
      <c r="B957" s="2"/>
      <c r="C957" s="2"/>
      <c r="D957" s="2"/>
      <c r="E957" s="2"/>
    </row>
    <row r="958" spans="2:5" ht="12.75">
      <c r="B958" s="2"/>
      <c r="C958" s="2"/>
      <c r="D958" s="2"/>
      <c r="E958" s="2"/>
    </row>
    <row r="959" spans="2:5" ht="12.75">
      <c r="B959" s="2"/>
      <c r="C959" s="2"/>
      <c r="D959" s="2"/>
      <c r="E959" s="2"/>
    </row>
    <row r="960" spans="2:5" ht="12.75">
      <c r="B960" s="2"/>
      <c r="C960" s="2"/>
      <c r="D960" s="2"/>
      <c r="E960" s="2"/>
    </row>
    <row r="961" spans="2:5" ht="12.75">
      <c r="B961" s="2"/>
      <c r="C961" s="2"/>
      <c r="D961" s="2"/>
      <c r="E961" s="2"/>
    </row>
    <row r="962" spans="2:5" ht="12.75">
      <c r="B962" s="2"/>
      <c r="C962" s="2"/>
      <c r="D962" s="2"/>
      <c r="E962" s="2"/>
    </row>
    <row r="963" spans="2:5" ht="12.75">
      <c r="B963" s="2"/>
      <c r="C963" s="2"/>
      <c r="D963" s="2"/>
      <c r="E963" s="2"/>
    </row>
    <row r="964" spans="2:5" ht="12.75">
      <c r="B964" s="2"/>
      <c r="C964" s="2"/>
      <c r="D964" s="2"/>
      <c r="E964" s="2"/>
    </row>
    <row r="965" spans="2:5" ht="12.75">
      <c r="B965" s="2"/>
      <c r="C965" s="2"/>
      <c r="D965" s="2"/>
      <c r="E965" s="2"/>
    </row>
    <row r="966" spans="2:5" ht="12.75">
      <c r="B966" s="2"/>
      <c r="C966" s="2"/>
      <c r="D966" s="2"/>
      <c r="E966" s="2"/>
    </row>
    <row r="967" spans="2:5" ht="12.75">
      <c r="B967" s="2"/>
      <c r="C967" s="2"/>
      <c r="D967" s="2"/>
      <c r="E967" s="2"/>
    </row>
    <row r="968" spans="2:5" ht="12.75">
      <c r="B968" s="2"/>
      <c r="C968" s="2"/>
      <c r="D968" s="2"/>
      <c r="E968" s="2"/>
    </row>
    <row r="969" spans="2:5" ht="12.75">
      <c r="B969" s="2"/>
      <c r="C969" s="2"/>
      <c r="D969" s="2"/>
      <c r="E969" s="2"/>
    </row>
    <row r="970" spans="2:5" ht="12.75">
      <c r="B970" s="2"/>
      <c r="C970" s="2"/>
      <c r="D970" s="2"/>
      <c r="E970" s="2"/>
    </row>
    <row r="971" spans="2:5" ht="12.75">
      <c r="B971" s="2"/>
      <c r="C971" s="2"/>
      <c r="D971" s="2"/>
      <c r="E971" s="2"/>
    </row>
    <row r="972" spans="2:5" ht="12.75">
      <c r="B972" s="2"/>
      <c r="C972" s="2"/>
      <c r="D972" s="2"/>
      <c r="E972" s="2"/>
    </row>
    <row r="973" spans="2:5" ht="12.75">
      <c r="B973" s="2"/>
      <c r="C973" s="2"/>
      <c r="D973" s="2"/>
      <c r="E973" s="2"/>
    </row>
    <row r="974" spans="2:5" ht="12.75">
      <c r="B974" s="2"/>
      <c r="C974" s="2"/>
      <c r="D974" s="2"/>
      <c r="E974" s="2"/>
    </row>
    <row r="975" spans="2:5" ht="12.75">
      <c r="B975" s="2"/>
      <c r="C975" s="2"/>
      <c r="D975" s="2"/>
      <c r="E975" s="2"/>
    </row>
    <row r="976" spans="2:5" ht="12.75">
      <c r="B976" s="2"/>
      <c r="C976" s="2"/>
      <c r="D976" s="2"/>
      <c r="E976" s="2"/>
    </row>
    <row r="977" spans="2:5" ht="12.75">
      <c r="B977" s="2"/>
      <c r="C977" s="2"/>
      <c r="D977" s="2"/>
      <c r="E977" s="2"/>
    </row>
    <row r="978" spans="2:5" ht="12.75">
      <c r="B978" s="2"/>
      <c r="C978" s="2"/>
      <c r="D978" s="2"/>
      <c r="E978" s="2"/>
    </row>
    <row r="979" spans="2:5" ht="12.75">
      <c r="B979" s="2"/>
      <c r="C979" s="2"/>
      <c r="D979" s="2"/>
      <c r="E979" s="2"/>
    </row>
    <row r="980" spans="2:5" ht="12.75">
      <c r="B980" s="2"/>
      <c r="C980" s="2"/>
      <c r="D980" s="2"/>
      <c r="E980" s="2"/>
    </row>
    <row r="981" spans="2:5" ht="12.75">
      <c r="B981" s="2"/>
      <c r="C981" s="2"/>
      <c r="D981" s="2"/>
      <c r="E981" s="2"/>
    </row>
    <row r="982" spans="2:5" ht="12.75">
      <c r="B982" s="2"/>
      <c r="C982" s="2"/>
      <c r="D982" s="2"/>
      <c r="E982" s="2"/>
    </row>
    <row r="983" spans="2:5" ht="12.75">
      <c r="B983" s="2"/>
      <c r="C983" s="2"/>
      <c r="D983" s="2"/>
      <c r="E983" s="2"/>
    </row>
    <row r="984" spans="2:5" ht="12.75">
      <c r="B984" s="2"/>
      <c r="C984" s="2"/>
      <c r="D984" s="2"/>
      <c r="E984" s="2"/>
    </row>
    <row r="985" spans="2:5" ht="12.75">
      <c r="B985" s="2"/>
      <c r="C985" s="2"/>
      <c r="D985" s="2"/>
      <c r="E985" s="2"/>
    </row>
    <row r="986" spans="2:5" ht="12.75">
      <c r="B986" s="2"/>
      <c r="C986" s="2"/>
      <c r="D986" s="2"/>
      <c r="E986" s="2"/>
    </row>
    <row r="987" spans="2:5" ht="12.75">
      <c r="B987" s="2"/>
      <c r="C987" s="2"/>
      <c r="D987" s="2"/>
      <c r="E987" s="2"/>
    </row>
    <row r="988" spans="2:5" ht="12.75">
      <c r="B988" s="2"/>
      <c r="C988" s="2"/>
      <c r="D988" s="2"/>
      <c r="E988" s="2"/>
    </row>
    <row r="989" spans="2:5" ht="12.75">
      <c r="B989" s="2"/>
      <c r="C989" s="2"/>
      <c r="D989" s="2"/>
      <c r="E989" s="2"/>
    </row>
    <row r="990" spans="2:5" ht="12.75">
      <c r="B990" s="2"/>
      <c r="C990" s="2"/>
      <c r="D990" s="2"/>
      <c r="E990" s="2"/>
    </row>
    <row r="991" spans="2:5" ht="12.75">
      <c r="B991" s="2"/>
      <c r="C991" s="2"/>
      <c r="D991" s="2"/>
      <c r="E991" s="2"/>
    </row>
    <row r="992" spans="2:5" ht="12.75">
      <c r="B992" s="2"/>
      <c r="C992" s="2"/>
      <c r="D992" s="2"/>
      <c r="E992" s="2"/>
    </row>
    <row r="993" spans="2:5" ht="12.75">
      <c r="B993" s="2"/>
      <c r="C993" s="2"/>
      <c r="D993" s="2"/>
      <c r="E993" s="2"/>
    </row>
    <row r="994" spans="2:5" ht="12.75">
      <c r="B994" s="2"/>
      <c r="C994" s="2"/>
      <c r="D994" s="2"/>
      <c r="E994" s="2"/>
    </row>
    <row r="995" spans="2:5" ht="12.75">
      <c r="B995" s="2"/>
      <c r="C995" s="2"/>
      <c r="D995" s="2"/>
      <c r="E995" s="2"/>
    </row>
    <row r="996" spans="2:5" ht="12.75">
      <c r="B996" s="2"/>
      <c r="C996" s="2"/>
      <c r="D996" s="2"/>
      <c r="E996" s="2"/>
    </row>
    <row r="997" spans="2:5" ht="12.75">
      <c r="B997" s="2"/>
      <c r="C997" s="2"/>
      <c r="D997" s="2"/>
      <c r="E997" s="2"/>
    </row>
    <row r="998" spans="2:5" ht="12.75">
      <c r="B998" s="2"/>
      <c r="C998" s="2"/>
      <c r="D998" s="2"/>
      <c r="E998" s="2"/>
    </row>
    <row r="999" spans="2:5" ht="12.75">
      <c r="B999" s="2"/>
      <c r="C999" s="2"/>
      <c r="D999" s="2"/>
      <c r="E999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W999"/>
  <sheetViews>
    <sheetView workbookViewId="0"/>
  </sheetViews>
  <sheetFormatPr defaultColWidth="12.5703125" defaultRowHeight="15.75" customHeight="1"/>
  <cols>
    <col min="1" max="1" width="16.5703125" customWidth="1"/>
    <col min="2" max="4" width="10.42578125" customWidth="1"/>
    <col min="5" max="5" width="11.42578125" customWidth="1"/>
    <col min="6" max="11" width="10.42578125" customWidth="1"/>
    <col min="12" max="12" width="11.28515625" customWidth="1"/>
    <col min="13" max="13" width="8.85546875" customWidth="1"/>
  </cols>
  <sheetData>
    <row r="1" spans="1:23" ht="12.75">
      <c r="A1" s="47" t="s">
        <v>369</v>
      </c>
      <c r="B1" s="48" t="s">
        <v>386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D2" s="2"/>
    </row>
    <row r="3" spans="1:23" ht="12.75">
      <c r="A3" s="30" t="s">
        <v>343</v>
      </c>
      <c r="B3" s="30" t="s">
        <v>1</v>
      </c>
      <c r="C3" s="32"/>
      <c r="D3" s="2"/>
    </row>
    <row r="4" spans="1:23" ht="12.75">
      <c r="A4" s="30" t="s">
        <v>54</v>
      </c>
      <c r="B4" s="33" t="s">
        <v>11</v>
      </c>
      <c r="C4" s="35" t="s">
        <v>425</v>
      </c>
      <c r="D4" s="2"/>
    </row>
    <row r="5" spans="1:23" ht="12.75">
      <c r="A5" s="33" t="s">
        <v>344</v>
      </c>
      <c r="B5" s="36">
        <v>307.60000000000002</v>
      </c>
      <c r="C5" s="38">
        <v>307.60000000000002</v>
      </c>
      <c r="D5" s="2"/>
    </row>
    <row r="6" spans="1:23" ht="12.75">
      <c r="A6" s="39" t="s">
        <v>345</v>
      </c>
      <c r="B6" s="40">
        <v>304.39999999999998</v>
      </c>
      <c r="C6" s="42">
        <v>304.39999999999998</v>
      </c>
      <c r="D6" s="2"/>
    </row>
    <row r="7" spans="1:23" ht="15.75" customHeight="1">
      <c r="A7" s="39" t="s">
        <v>346</v>
      </c>
      <c r="B7" s="40">
        <v>295.2</v>
      </c>
      <c r="C7" s="42">
        <v>295.2</v>
      </c>
      <c r="D7" s="2"/>
    </row>
    <row r="8" spans="1:23" ht="12.75">
      <c r="A8" s="39" t="s">
        <v>347</v>
      </c>
      <c r="B8" s="40">
        <v>291.7</v>
      </c>
      <c r="C8" s="42">
        <v>291.7</v>
      </c>
      <c r="D8" s="2"/>
    </row>
    <row r="9" spans="1:23" ht="12.75">
      <c r="A9" s="39" t="s">
        <v>348</v>
      </c>
      <c r="B9" s="40">
        <v>291.2</v>
      </c>
      <c r="C9" s="42">
        <v>291.2</v>
      </c>
      <c r="D9" s="2"/>
    </row>
    <row r="10" spans="1:23" ht="12.75">
      <c r="A10" s="39" t="s">
        <v>349</v>
      </c>
      <c r="B10" s="40">
        <v>290</v>
      </c>
      <c r="C10" s="42">
        <v>290</v>
      </c>
      <c r="D10" s="2"/>
    </row>
    <row r="11" spans="1:23" ht="12.75">
      <c r="A11" s="39" t="s">
        <v>350</v>
      </c>
      <c r="B11" s="40">
        <v>284.39999999999998</v>
      </c>
      <c r="C11" s="42">
        <v>284.39999999999998</v>
      </c>
      <c r="D11" s="2"/>
    </row>
    <row r="12" spans="1:23" ht="12.75">
      <c r="A12" s="39" t="s">
        <v>351</v>
      </c>
      <c r="B12" s="40">
        <v>279.10000000000002</v>
      </c>
      <c r="C12" s="42">
        <v>279.10000000000002</v>
      </c>
      <c r="D12" s="2"/>
    </row>
    <row r="13" spans="1:23" ht="12.75">
      <c r="A13" s="39" t="s">
        <v>352</v>
      </c>
      <c r="B13" s="40">
        <v>278.89999999999998</v>
      </c>
      <c r="C13" s="42">
        <v>278.89999999999998</v>
      </c>
      <c r="D13" s="2"/>
    </row>
    <row r="14" spans="1:23" ht="12.75">
      <c r="A14" s="39" t="s">
        <v>353</v>
      </c>
      <c r="B14" s="40">
        <v>257.39999999999998</v>
      </c>
      <c r="C14" s="42">
        <v>257.39999999999998</v>
      </c>
      <c r="D14" s="2"/>
    </row>
    <row r="15" spans="1:23" ht="12.75">
      <c r="A15" s="43" t="s">
        <v>425</v>
      </c>
      <c r="B15" s="44">
        <v>2879.9</v>
      </c>
      <c r="C15" s="46">
        <v>2879.9</v>
      </c>
      <c r="D15" s="2"/>
    </row>
    <row r="16" spans="1:23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spans="2:4" ht="12.75">
      <c r="B406" s="2"/>
      <c r="C406" s="2"/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C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spans="2:4" ht="12.75">
      <c r="B458" s="2"/>
      <c r="C458" s="2"/>
      <c r="D458" s="2"/>
    </row>
    <row r="459" spans="2:4" ht="12.75">
      <c r="B459" s="2"/>
      <c r="C459" s="2"/>
      <c r="D459" s="2"/>
    </row>
    <row r="460" spans="2:4" ht="12.75">
      <c r="B460" s="2"/>
      <c r="C460" s="2"/>
      <c r="D460" s="2"/>
    </row>
    <row r="461" spans="2:4" ht="12.75">
      <c r="B461" s="2"/>
      <c r="C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8" spans="2:4" ht="12.75">
      <c r="B468" s="2"/>
      <c r="C468" s="2"/>
      <c r="D468" s="2"/>
    </row>
    <row r="469" spans="2:4" ht="12.75">
      <c r="B469" s="2"/>
      <c r="C469" s="2"/>
      <c r="D469" s="2"/>
    </row>
    <row r="470" spans="2:4" ht="12.75">
      <c r="B470" s="2"/>
      <c r="C470" s="2"/>
      <c r="D470" s="2"/>
    </row>
    <row r="471" spans="2:4" ht="12.75">
      <c r="B471" s="2"/>
      <c r="C471" s="2"/>
      <c r="D471" s="2"/>
    </row>
    <row r="472" spans="2:4" ht="12.75">
      <c r="B472" s="2"/>
      <c r="C472" s="2"/>
      <c r="D472" s="2"/>
    </row>
    <row r="473" spans="2:4" ht="12.75">
      <c r="B473" s="2"/>
      <c r="C473" s="2"/>
      <c r="D473" s="2"/>
    </row>
    <row r="474" spans="2:4" ht="12.75">
      <c r="B474" s="2"/>
      <c r="C474" s="2"/>
      <c r="D474" s="2"/>
    </row>
    <row r="475" spans="2:4" ht="12.75">
      <c r="B475" s="2"/>
      <c r="C475" s="2"/>
      <c r="D475" s="2"/>
    </row>
    <row r="476" spans="2:4" ht="12.75">
      <c r="B476" s="2"/>
      <c r="C476" s="2"/>
      <c r="D476" s="2"/>
    </row>
    <row r="477" spans="2:4" ht="12.75">
      <c r="B477" s="2"/>
      <c r="C477" s="2"/>
      <c r="D477" s="2"/>
    </row>
    <row r="478" spans="2:4" ht="12.75">
      <c r="B478" s="2"/>
      <c r="C478" s="2"/>
      <c r="D478" s="2"/>
    </row>
    <row r="479" spans="2:4" ht="12.75">
      <c r="B479" s="2"/>
      <c r="C479" s="2"/>
      <c r="D479" s="2"/>
    </row>
    <row r="480" spans="2:4" ht="12.75">
      <c r="B480" s="2"/>
      <c r="C480" s="2"/>
      <c r="D480" s="2"/>
    </row>
    <row r="481" spans="2:4" ht="12.75">
      <c r="B481" s="2"/>
      <c r="C481" s="2"/>
      <c r="D481" s="2"/>
    </row>
    <row r="482" spans="2:4" ht="12.75">
      <c r="B482" s="2"/>
      <c r="C482" s="2"/>
      <c r="D482" s="2"/>
    </row>
    <row r="483" spans="2:4" ht="12.75">
      <c r="B483" s="2"/>
      <c r="C483" s="2"/>
      <c r="D483" s="2"/>
    </row>
    <row r="484" spans="2:4" ht="12.75">
      <c r="B484" s="2"/>
      <c r="C484" s="2"/>
      <c r="D484" s="2"/>
    </row>
    <row r="485" spans="2:4" ht="12.75">
      <c r="B485" s="2"/>
      <c r="C485" s="2"/>
      <c r="D485" s="2"/>
    </row>
    <row r="486" spans="2:4" ht="12.75">
      <c r="B486" s="2"/>
      <c r="C486" s="2"/>
      <c r="D486" s="2"/>
    </row>
    <row r="487" spans="2:4" ht="12.75">
      <c r="B487" s="2"/>
      <c r="C487" s="2"/>
      <c r="D487" s="2"/>
    </row>
    <row r="488" spans="2:4" ht="12.75">
      <c r="B488" s="2"/>
      <c r="C488" s="2"/>
      <c r="D488" s="2"/>
    </row>
    <row r="489" spans="2:4" ht="12.75">
      <c r="B489" s="2"/>
      <c r="C489" s="2"/>
      <c r="D489" s="2"/>
    </row>
    <row r="490" spans="2:4" ht="12.75">
      <c r="B490" s="2"/>
      <c r="C490" s="2"/>
      <c r="D490" s="2"/>
    </row>
    <row r="491" spans="2:4" ht="12.75">
      <c r="B491" s="2"/>
      <c r="C491" s="2"/>
      <c r="D491" s="2"/>
    </row>
    <row r="492" spans="2:4" ht="12.75">
      <c r="B492" s="2"/>
      <c r="C492" s="2"/>
      <c r="D492" s="2"/>
    </row>
    <row r="493" spans="2:4" ht="12.75">
      <c r="B493" s="2"/>
      <c r="C493" s="2"/>
      <c r="D493" s="2"/>
    </row>
    <row r="494" spans="2:4" ht="12.75">
      <c r="B494" s="2"/>
      <c r="C494" s="2"/>
      <c r="D494" s="2"/>
    </row>
    <row r="495" spans="2:4" ht="12.75">
      <c r="B495" s="2"/>
      <c r="C495" s="2"/>
      <c r="D495" s="2"/>
    </row>
    <row r="496" spans="2:4" ht="12.75">
      <c r="B496" s="2"/>
      <c r="C496" s="2"/>
      <c r="D496" s="2"/>
    </row>
    <row r="497" spans="2:4" ht="12.75">
      <c r="B497" s="2"/>
      <c r="C497" s="2"/>
      <c r="D497" s="2"/>
    </row>
    <row r="498" spans="2:4" ht="12.75">
      <c r="B498" s="2"/>
      <c r="C498" s="2"/>
      <c r="D498" s="2"/>
    </row>
    <row r="499" spans="2:4" ht="12.75">
      <c r="B499" s="2"/>
      <c r="C499" s="2"/>
      <c r="D499" s="2"/>
    </row>
    <row r="500" spans="2:4" ht="12.75">
      <c r="B500" s="2"/>
      <c r="C500" s="2"/>
      <c r="D500" s="2"/>
    </row>
    <row r="501" spans="2:4" ht="12.75">
      <c r="B501" s="2"/>
      <c r="C501" s="2"/>
      <c r="D501" s="2"/>
    </row>
    <row r="502" spans="2:4" ht="12.75">
      <c r="B502" s="2"/>
      <c r="C502" s="2"/>
      <c r="D502" s="2"/>
    </row>
    <row r="503" spans="2:4" ht="12.75">
      <c r="B503" s="2"/>
      <c r="C503" s="2"/>
      <c r="D503" s="2"/>
    </row>
    <row r="504" spans="2:4" ht="12.75">
      <c r="B504" s="2"/>
      <c r="C504" s="2"/>
      <c r="D504" s="2"/>
    </row>
    <row r="505" spans="2:4" ht="12.75">
      <c r="B505" s="2"/>
      <c r="C505" s="2"/>
      <c r="D505" s="2"/>
    </row>
    <row r="506" spans="2:4" ht="12.75">
      <c r="B506" s="2"/>
      <c r="C506" s="2"/>
      <c r="D506" s="2"/>
    </row>
    <row r="507" spans="2:4" ht="12.75">
      <c r="B507" s="2"/>
      <c r="C507" s="2"/>
      <c r="D507" s="2"/>
    </row>
    <row r="508" spans="2:4" ht="12.75">
      <c r="B508" s="2"/>
      <c r="C508" s="2"/>
      <c r="D508" s="2"/>
    </row>
    <row r="509" spans="2:4" ht="12.75">
      <c r="B509" s="2"/>
      <c r="C509" s="2"/>
      <c r="D509" s="2"/>
    </row>
    <row r="510" spans="2:4" ht="12.75">
      <c r="B510" s="2"/>
      <c r="C510" s="2"/>
      <c r="D510" s="2"/>
    </row>
    <row r="511" spans="2:4" ht="12.75">
      <c r="B511" s="2"/>
      <c r="C511" s="2"/>
      <c r="D511" s="2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4" ht="12.75">
      <c r="B695" s="2"/>
      <c r="C695" s="2"/>
      <c r="D695" s="2"/>
    </row>
    <row r="696" spans="2:4" ht="12.75">
      <c r="B696" s="2"/>
      <c r="C696" s="2"/>
      <c r="D696" s="2"/>
    </row>
    <row r="697" spans="2:4" ht="12.75">
      <c r="B697" s="2"/>
      <c r="C697" s="2"/>
      <c r="D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4" ht="12.75">
      <c r="B701" s="2"/>
      <c r="C701" s="2"/>
      <c r="D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W18"/>
  <sheetViews>
    <sheetView workbookViewId="0"/>
  </sheetViews>
  <sheetFormatPr defaultColWidth="12.5703125" defaultRowHeight="15.75" customHeight="1"/>
  <cols>
    <col min="1" max="1" width="19.5703125" customWidth="1"/>
    <col min="2" max="4" width="10.42578125" customWidth="1"/>
    <col min="5" max="5" width="11.42578125" customWidth="1"/>
    <col min="6" max="11" width="10.42578125" customWidth="1"/>
    <col min="12" max="12" width="11.28515625" customWidth="1"/>
    <col min="13" max="13" width="8.85546875" customWidth="1"/>
  </cols>
  <sheetData>
    <row r="1" spans="1:23" ht="12.75">
      <c r="A1" s="47" t="s">
        <v>369</v>
      </c>
      <c r="B1" s="48" t="s">
        <v>387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/>
    <row r="3" spans="1:23" ht="12.75">
      <c r="A3" s="30" t="s">
        <v>354</v>
      </c>
      <c r="B3" s="30" t="s">
        <v>1</v>
      </c>
      <c r="C3" s="32"/>
    </row>
    <row r="4" spans="1:23" ht="12.75">
      <c r="A4" s="30" t="s">
        <v>54</v>
      </c>
      <c r="B4" s="33" t="s">
        <v>11</v>
      </c>
      <c r="C4" s="35" t="s">
        <v>425</v>
      </c>
    </row>
    <row r="5" spans="1:23" ht="12.75">
      <c r="A5" s="33" t="s">
        <v>355</v>
      </c>
      <c r="B5" s="36">
        <v>306.60000000000002</v>
      </c>
      <c r="C5" s="38">
        <v>306.60000000000002</v>
      </c>
    </row>
    <row r="6" spans="1:23" ht="12.75">
      <c r="A6" s="39" t="s">
        <v>356</v>
      </c>
      <c r="B6" s="40">
        <v>303.60000000000002</v>
      </c>
      <c r="C6" s="42">
        <v>303.60000000000002</v>
      </c>
    </row>
    <row r="7" spans="1:23" ht="18" customHeight="1">
      <c r="A7" s="39" t="s">
        <v>357</v>
      </c>
      <c r="B7" s="40">
        <v>303.29999999999995</v>
      </c>
      <c r="C7" s="42">
        <v>303.29999999999995</v>
      </c>
    </row>
    <row r="8" spans="1:23" ht="12.75">
      <c r="A8" s="39" t="s">
        <v>358</v>
      </c>
      <c r="B8" s="40">
        <v>302.20000000000005</v>
      </c>
      <c r="C8" s="42">
        <v>302.20000000000005</v>
      </c>
    </row>
    <row r="9" spans="1:23" ht="12.75">
      <c r="A9" s="39" t="s">
        <v>359</v>
      </c>
      <c r="B9" s="40">
        <v>299.39999999999998</v>
      </c>
      <c r="C9" s="42">
        <v>299.39999999999998</v>
      </c>
    </row>
    <row r="10" spans="1:23" ht="12.75">
      <c r="A10" s="39" t="s">
        <v>360</v>
      </c>
      <c r="B10" s="40">
        <v>281.79999999999995</v>
      </c>
      <c r="C10" s="42">
        <v>281.79999999999995</v>
      </c>
    </row>
    <row r="11" spans="1:23" ht="12.75">
      <c r="A11" s="39" t="s">
        <v>361</v>
      </c>
      <c r="B11" s="40">
        <v>279.10000000000002</v>
      </c>
      <c r="C11" s="42">
        <v>279.10000000000002</v>
      </c>
    </row>
    <row r="12" spans="1:23" ht="12.75">
      <c r="A12" s="39" t="s">
        <v>362</v>
      </c>
      <c r="B12" s="40">
        <v>278.79999999999995</v>
      </c>
      <c r="C12" s="42">
        <v>278.79999999999995</v>
      </c>
    </row>
    <row r="13" spans="1:23" ht="12.75">
      <c r="A13" s="39" t="s">
        <v>363</v>
      </c>
      <c r="B13" s="40">
        <v>277</v>
      </c>
      <c r="C13" s="42">
        <v>277</v>
      </c>
    </row>
    <row r="14" spans="1:23" ht="12.75">
      <c r="A14" s="39" t="s">
        <v>364</v>
      </c>
      <c r="B14" s="40">
        <v>276.3</v>
      </c>
      <c r="C14" s="42">
        <v>276.3</v>
      </c>
    </row>
    <row r="15" spans="1:23" ht="12.75">
      <c r="A15" s="39" t="s">
        <v>365</v>
      </c>
      <c r="B15" s="40">
        <v>273</v>
      </c>
      <c r="C15" s="42">
        <v>273</v>
      </c>
    </row>
    <row r="16" spans="1:23" ht="12.75">
      <c r="A16" s="39" t="s">
        <v>366</v>
      </c>
      <c r="B16" s="40">
        <v>259</v>
      </c>
      <c r="C16" s="42">
        <v>259</v>
      </c>
    </row>
    <row r="17" spans="1:3" ht="15.75" customHeight="1">
      <c r="A17" s="39" t="s">
        <v>367</v>
      </c>
      <c r="B17" s="40">
        <v>235.10000000000002</v>
      </c>
      <c r="C17" s="42">
        <v>235.10000000000002</v>
      </c>
    </row>
    <row r="18" spans="1:3" ht="15.75" customHeight="1">
      <c r="A18" s="43" t="s">
        <v>425</v>
      </c>
      <c r="B18" s="44">
        <v>3675.2</v>
      </c>
      <c r="C18" s="46">
        <v>3675.2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defaultColWidth="12.5703125" defaultRowHeight="15.75" customHeight="1"/>
  <cols>
    <col min="1" max="1" width="16.28515625" customWidth="1"/>
    <col min="2" max="5" width="10.28515625" customWidth="1"/>
    <col min="9" max="9" width="10.5703125" customWidth="1"/>
  </cols>
  <sheetData>
    <row r="1" spans="1:9" ht="12.75">
      <c r="A1" s="47" t="s">
        <v>369</v>
      </c>
      <c r="B1" s="48" t="s">
        <v>427</v>
      </c>
      <c r="H1" s="2"/>
      <c r="I1" s="3"/>
    </row>
    <row r="2" spans="1:9" ht="12.75">
      <c r="H2" s="2"/>
      <c r="I2" s="3"/>
    </row>
    <row r="3" spans="1:9" ht="12.75">
      <c r="A3" s="30" t="s">
        <v>29</v>
      </c>
      <c r="B3" s="30" t="s">
        <v>1</v>
      </c>
      <c r="C3" s="31"/>
      <c r="D3" s="31"/>
      <c r="E3" s="31"/>
      <c r="F3" s="32"/>
      <c r="H3" s="2"/>
      <c r="I3" s="3"/>
    </row>
    <row r="4" spans="1:9" ht="12.75">
      <c r="A4" s="30" t="s">
        <v>2</v>
      </c>
      <c r="B4" s="33" t="s">
        <v>5</v>
      </c>
      <c r="C4" s="34" t="s">
        <v>6</v>
      </c>
      <c r="D4" s="34" t="s">
        <v>10</v>
      </c>
      <c r="E4" s="34" t="s">
        <v>11</v>
      </c>
      <c r="F4" s="35" t="s">
        <v>425</v>
      </c>
      <c r="H4" s="2"/>
      <c r="I4" s="3"/>
    </row>
    <row r="5" spans="1:9" ht="12.75">
      <c r="A5" s="33" t="s">
        <v>13</v>
      </c>
      <c r="B5" s="36">
        <v>264.5</v>
      </c>
      <c r="C5" s="37">
        <v>526</v>
      </c>
      <c r="D5" s="37">
        <v>551.5</v>
      </c>
      <c r="E5" s="37">
        <v>1189.0999999999999</v>
      </c>
      <c r="F5" s="38">
        <v>2531.1</v>
      </c>
      <c r="H5" s="2"/>
      <c r="I5" s="3"/>
    </row>
    <row r="6" spans="1:9" ht="12.75">
      <c r="A6" s="39" t="s">
        <v>14</v>
      </c>
      <c r="B6" s="40">
        <v>249</v>
      </c>
      <c r="C6" s="41">
        <v>532</v>
      </c>
      <c r="D6" s="41">
        <v>518</v>
      </c>
      <c r="E6" s="41">
        <v>1113.1999999999998</v>
      </c>
      <c r="F6" s="42">
        <v>2412.1999999999998</v>
      </c>
      <c r="H6" s="2"/>
      <c r="I6" s="3"/>
    </row>
    <row r="7" spans="1:9" ht="12.75">
      <c r="A7" s="39" t="s">
        <v>16</v>
      </c>
      <c r="B7" s="40">
        <v>271</v>
      </c>
      <c r="C7" s="41">
        <v>431</v>
      </c>
      <c r="D7" s="41">
        <v>463.5</v>
      </c>
      <c r="E7" s="41">
        <v>1157</v>
      </c>
      <c r="F7" s="42">
        <v>2322.5</v>
      </c>
      <c r="H7" s="2"/>
      <c r="I7" s="3"/>
    </row>
    <row r="8" spans="1:9" ht="12.75">
      <c r="A8" s="39" t="s">
        <v>19</v>
      </c>
      <c r="B8" s="40">
        <v>287</v>
      </c>
      <c r="C8" s="41">
        <v>518</v>
      </c>
      <c r="D8" s="41">
        <v>414</v>
      </c>
      <c r="E8" s="41">
        <v>997.5</v>
      </c>
      <c r="F8" s="42">
        <v>2216.5</v>
      </c>
      <c r="H8" s="2"/>
      <c r="I8" s="3"/>
    </row>
    <row r="9" spans="1:9" ht="12.75">
      <c r="A9" s="39" t="s">
        <v>17</v>
      </c>
      <c r="B9" s="40"/>
      <c r="C9" s="41">
        <v>420</v>
      </c>
      <c r="D9" s="41">
        <v>537.5</v>
      </c>
      <c r="E9" s="41">
        <v>1169.2</v>
      </c>
      <c r="F9" s="42">
        <v>2126.6999999999998</v>
      </c>
      <c r="H9" s="2"/>
      <c r="I9" s="3"/>
    </row>
    <row r="10" spans="1:9" ht="12.75">
      <c r="A10" s="39" t="s">
        <v>15</v>
      </c>
      <c r="B10" s="40"/>
      <c r="C10" s="41">
        <v>526</v>
      </c>
      <c r="D10" s="41">
        <v>245</v>
      </c>
      <c r="E10" s="41">
        <v>1163.3</v>
      </c>
      <c r="F10" s="42">
        <v>1934.3</v>
      </c>
      <c r="H10" s="2"/>
      <c r="I10" s="3"/>
    </row>
    <row r="11" spans="1:9" ht="12.75">
      <c r="A11" s="39" t="s">
        <v>20</v>
      </c>
      <c r="B11" s="40"/>
      <c r="C11" s="41">
        <v>498</v>
      </c>
      <c r="D11" s="41">
        <v>265</v>
      </c>
      <c r="E11" s="41">
        <v>1132.2</v>
      </c>
      <c r="F11" s="42">
        <v>1895.2</v>
      </c>
      <c r="H11" s="2"/>
      <c r="I11" s="3"/>
    </row>
    <row r="12" spans="1:9" ht="12.75">
      <c r="A12" s="39" t="s">
        <v>18</v>
      </c>
      <c r="B12" s="40"/>
      <c r="C12" s="41">
        <v>243</v>
      </c>
      <c r="D12" s="41">
        <v>434.5</v>
      </c>
      <c r="E12" s="41">
        <v>1079.8000000000002</v>
      </c>
      <c r="F12" s="42">
        <v>1757.3000000000002</v>
      </c>
      <c r="H12" s="2"/>
      <c r="I12" s="3"/>
    </row>
    <row r="13" spans="1:9" ht="12.75">
      <c r="A13" s="39" t="s">
        <v>22</v>
      </c>
      <c r="B13" s="40"/>
      <c r="C13" s="41">
        <v>244</v>
      </c>
      <c r="D13" s="41">
        <v>374.5</v>
      </c>
      <c r="E13" s="41">
        <v>1062.5999999999999</v>
      </c>
      <c r="F13" s="42">
        <v>1681.1</v>
      </c>
      <c r="H13" s="2"/>
      <c r="I13" s="3"/>
    </row>
    <row r="14" spans="1:9" ht="12.75">
      <c r="A14" s="39" t="s">
        <v>21</v>
      </c>
      <c r="B14" s="40"/>
      <c r="C14" s="41">
        <v>541</v>
      </c>
      <c r="D14" s="41">
        <v>498.5</v>
      </c>
      <c r="E14" s="41">
        <v>532.1</v>
      </c>
      <c r="F14" s="42">
        <v>1571.6</v>
      </c>
      <c r="H14" s="2"/>
      <c r="I14" s="3"/>
    </row>
    <row r="15" spans="1:9" ht="12.75">
      <c r="A15" s="39" t="s">
        <v>23</v>
      </c>
      <c r="B15" s="40"/>
      <c r="C15" s="41">
        <v>239</v>
      </c>
      <c r="D15" s="41"/>
      <c r="E15" s="41">
        <v>1095.1999999999998</v>
      </c>
      <c r="F15" s="42">
        <v>1334.1999999999998</v>
      </c>
      <c r="H15" s="2"/>
      <c r="I15" s="3"/>
    </row>
    <row r="16" spans="1:9" ht="12.75">
      <c r="A16" s="39" t="s">
        <v>24</v>
      </c>
      <c r="B16" s="40"/>
      <c r="C16" s="41"/>
      <c r="D16" s="41">
        <v>536</v>
      </c>
      <c r="E16" s="41">
        <v>591.90000000000009</v>
      </c>
      <c r="F16" s="42">
        <v>1127.9000000000001</v>
      </c>
      <c r="H16" s="2"/>
      <c r="I16" s="3"/>
    </row>
    <row r="17" spans="1:9" ht="12.75">
      <c r="A17" s="43" t="s">
        <v>425</v>
      </c>
      <c r="B17" s="44">
        <v>1071.5</v>
      </c>
      <c r="C17" s="45">
        <v>4718</v>
      </c>
      <c r="D17" s="45">
        <v>4838</v>
      </c>
      <c r="E17" s="45">
        <v>12283.1</v>
      </c>
      <c r="F17" s="46">
        <v>22910.600000000002</v>
      </c>
      <c r="H17" s="2"/>
      <c r="I17" s="3"/>
    </row>
    <row r="18" spans="1:9" ht="4.5" customHeight="1">
      <c r="B18" s="2"/>
      <c r="C18" s="2"/>
      <c r="D18" s="2"/>
      <c r="E18" s="2"/>
      <c r="H18" s="2"/>
      <c r="I18" s="3"/>
    </row>
    <row r="19" spans="1:9" ht="12.75" customHeight="1">
      <c r="B19" s="2"/>
      <c r="C19" s="2"/>
      <c r="D19" s="2"/>
      <c r="E19" s="2"/>
      <c r="H19" s="2"/>
      <c r="I19" s="3"/>
    </row>
    <row r="20" spans="1:9" ht="12.75">
      <c r="B20" s="2"/>
      <c r="C20" s="2"/>
      <c r="D20" s="2"/>
      <c r="E20" s="2"/>
      <c r="H20" s="2"/>
      <c r="I20" s="3"/>
    </row>
    <row r="21" spans="1:9" ht="12.75">
      <c r="B21" s="2"/>
      <c r="C21" s="2"/>
      <c r="D21" s="2"/>
      <c r="E21" s="2"/>
      <c r="H21" s="2"/>
      <c r="I21" s="3"/>
    </row>
    <row r="22" spans="1:9" ht="12.75">
      <c r="B22" s="2"/>
      <c r="C22" s="2"/>
      <c r="D22" s="2"/>
      <c r="E22" s="2"/>
      <c r="H22" s="2"/>
      <c r="I22" s="3"/>
    </row>
    <row r="23" spans="1:9" ht="12.75">
      <c r="B23" s="2"/>
      <c r="C23" s="2"/>
      <c r="D23" s="2"/>
      <c r="E23" s="2"/>
      <c r="H23" s="2"/>
      <c r="I23" s="3"/>
    </row>
    <row r="24" spans="1:9" ht="12.75">
      <c r="B24" s="2"/>
      <c r="C24" s="2"/>
      <c r="D24" s="2"/>
      <c r="E24" s="2"/>
      <c r="H24" s="2"/>
      <c r="I24" s="3"/>
    </row>
    <row r="25" spans="1:9" ht="12.75">
      <c r="B25" s="2"/>
      <c r="C25" s="2"/>
      <c r="D25" s="2"/>
      <c r="E25" s="2"/>
      <c r="H25" s="2"/>
      <c r="I25" s="3"/>
    </row>
    <row r="26" spans="1:9" ht="12.75">
      <c r="B26" s="2"/>
      <c r="C26" s="2"/>
      <c r="D26" s="2"/>
      <c r="E26" s="2"/>
      <c r="H26" s="2"/>
      <c r="I26" s="3"/>
    </row>
    <row r="27" spans="1:9" ht="12.75">
      <c r="B27" s="2"/>
      <c r="C27" s="2"/>
      <c r="D27" s="2"/>
      <c r="E27" s="2"/>
      <c r="H27" s="2"/>
      <c r="I27" s="3"/>
    </row>
    <row r="28" spans="1:9" ht="12.75">
      <c r="B28" s="2"/>
      <c r="C28" s="2"/>
      <c r="D28" s="2"/>
      <c r="E28" s="2"/>
      <c r="H28" s="2"/>
      <c r="I28" s="3"/>
    </row>
    <row r="29" spans="1:9" ht="12.75">
      <c r="B29" s="2"/>
      <c r="C29" s="2"/>
      <c r="D29" s="2"/>
      <c r="E29" s="2"/>
      <c r="H29" s="2"/>
      <c r="I29" s="3"/>
    </row>
    <row r="30" spans="1:9" ht="12.75">
      <c r="B30" s="2"/>
      <c r="C30" s="2"/>
      <c r="D30" s="2"/>
      <c r="E30" s="2"/>
      <c r="H30" s="2"/>
      <c r="I30" s="3"/>
    </row>
    <row r="31" spans="1:9" ht="12.75">
      <c r="B31" s="2"/>
      <c r="C31" s="2"/>
      <c r="D31" s="2"/>
      <c r="E31" s="2"/>
      <c r="H31" s="2"/>
      <c r="I31" s="3"/>
    </row>
    <row r="32" spans="1:9" ht="12.75">
      <c r="B32" s="2"/>
      <c r="C32" s="2"/>
      <c r="D32" s="2"/>
      <c r="E32" s="2"/>
      <c r="H32" s="2"/>
      <c r="I32" s="3"/>
    </row>
    <row r="33" spans="2:9" ht="12.75">
      <c r="B33" s="2"/>
      <c r="C33" s="2"/>
      <c r="D33" s="2"/>
      <c r="E33" s="2"/>
      <c r="H33" s="2"/>
      <c r="I33" s="3"/>
    </row>
    <row r="34" spans="2:9" ht="12.75">
      <c r="B34" s="2"/>
      <c r="C34" s="2"/>
      <c r="D34" s="2"/>
      <c r="E34" s="2"/>
      <c r="H34" s="2"/>
      <c r="I34" s="3"/>
    </row>
    <row r="35" spans="2:9" ht="12.75">
      <c r="B35" s="2"/>
      <c r="C35" s="2"/>
      <c r="D35" s="2"/>
      <c r="E35" s="2"/>
      <c r="H35" s="2"/>
      <c r="I35" s="3"/>
    </row>
    <row r="36" spans="2:9" ht="12.75">
      <c r="B36" s="2"/>
      <c r="C36" s="2"/>
      <c r="D36" s="2"/>
      <c r="E36" s="2"/>
      <c r="H36" s="2"/>
      <c r="I36" s="3"/>
    </row>
    <row r="37" spans="2:9" ht="12.75">
      <c r="B37" s="2"/>
      <c r="C37" s="2"/>
      <c r="D37" s="2"/>
      <c r="E37" s="2"/>
      <c r="H37" s="2"/>
      <c r="I37" s="3"/>
    </row>
    <row r="38" spans="2:9" ht="12.75">
      <c r="B38" s="2"/>
      <c r="C38" s="2"/>
      <c r="D38" s="2"/>
      <c r="E38" s="2"/>
      <c r="H38" s="2"/>
      <c r="I38" s="3"/>
    </row>
    <row r="39" spans="2:9" ht="12.75">
      <c r="B39" s="2"/>
      <c r="C39" s="2"/>
      <c r="D39" s="2"/>
      <c r="E39" s="2"/>
      <c r="H39" s="2"/>
      <c r="I39" s="3"/>
    </row>
    <row r="40" spans="2:9" ht="12.75">
      <c r="B40" s="2"/>
      <c r="C40" s="2"/>
      <c r="D40" s="2"/>
      <c r="E40" s="2"/>
      <c r="H40" s="2"/>
      <c r="I40" s="3"/>
    </row>
    <row r="41" spans="2:9" ht="12.75">
      <c r="B41" s="2"/>
      <c r="C41" s="2"/>
      <c r="D41" s="2"/>
      <c r="E41" s="2"/>
      <c r="H41" s="2"/>
      <c r="I41" s="3"/>
    </row>
    <row r="42" spans="2:9" ht="12.75">
      <c r="B42" s="2"/>
      <c r="C42" s="2"/>
      <c r="D42" s="2"/>
      <c r="E42" s="2"/>
      <c r="H42" s="2"/>
      <c r="I42" s="3"/>
    </row>
    <row r="43" spans="2:9" ht="12.75">
      <c r="B43" s="2"/>
      <c r="C43" s="2"/>
      <c r="D43" s="2"/>
      <c r="E43" s="2"/>
      <c r="H43" s="2"/>
      <c r="I43" s="3"/>
    </row>
    <row r="44" spans="2:9" ht="12.75">
      <c r="B44" s="2"/>
      <c r="C44" s="2"/>
      <c r="D44" s="2"/>
      <c r="E44" s="2"/>
      <c r="H44" s="2"/>
      <c r="I44" s="3"/>
    </row>
    <row r="45" spans="2:9" ht="12.75">
      <c r="B45" s="2"/>
      <c r="C45" s="2"/>
      <c r="D45" s="2"/>
      <c r="E45" s="2"/>
      <c r="H45" s="2"/>
      <c r="I45" s="3"/>
    </row>
    <row r="46" spans="2:9" ht="12.75">
      <c r="B46" s="2"/>
      <c r="C46" s="2"/>
      <c r="D46" s="2"/>
      <c r="E46" s="2"/>
      <c r="H46" s="2"/>
      <c r="I46" s="3"/>
    </row>
    <row r="47" spans="2:9" ht="12.75">
      <c r="B47" s="2"/>
      <c r="C47" s="2"/>
      <c r="D47" s="2"/>
      <c r="E47" s="2"/>
      <c r="H47" s="2"/>
      <c r="I47" s="3"/>
    </row>
    <row r="48" spans="2:9" ht="12.75">
      <c r="B48" s="2"/>
      <c r="C48" s="2"/>
      <c r="D48" s="2"/>
      <c r="E48" s="2"/>
      <c r="H48" s="2"/>
      <c r="I48" s="3"/>
    </row>
    <row r="49" spans="2:9" ht="12.75">
      <c r="B49" s="2"/>
      <c r="C49" s="2"/>
      <c r="D49" s="2"/>
      <c r="E49" s="2"/>
      <c r="H49" s="2"/>
      <c r="I49" s="3"/>
    </row>
    <row r="50" spans="2:9" ht="12.75">
      <c r="B50" s="2"/>
      <c r="C50" s="2"/>
      <c r="D50" s="2"/>
      <c r="E50" s="2"/>
      <c r="H50" s="2"/>
      <c r="I50" s="3"/>
    </row>
    <row r="51" spans="2:9" ht="12.75">
      <c r="B51" s="2"/>
      <c r="C51" s="2"/>
      <c r="D51" s="2"/>
      <c r="E51" s="2"/>
      <c r="H51" s="2"/>
      <c r="I51" s="3"/>
    </row>
    <row r="52" spans="2:9" ht="12.75">
      <c r="B52" s="2"/>
      <c r="C52" s="2"/>
      <c r="D52" s="2"/>
      <c r="E52" s="2"/>
      <c r="H52" s="2"/>
      <c r="I52" s="3"/>
    </row>
    <row r="53" spans="2:9" ht="12.75">
      <c r="B53" s="2"/>
      <c r="C53" s="2"/>
      <c r="D53" s="2"/>
      <c r="E53" s="2"/>
      <c r="H53" s="2"/>
      <c r="I53" s="3"/>
    </row>
    <row r="54" spans="2:9" ht="12.75">
      <c r="B54" s="2"/>
      <c r="C54" s="2"/>
      <c r="D54" s="2"/>
      <c r="E54" s="2"/>
      <c r="H54" s="2"/>
      <c r="I54" s="3"/>
    </row>
    <row r="55" spans="2:9" ht="12.75">
      <c r="B55" s="2"/>
      <c r="C55" s="2"/>
      <c r="D55" s="2"/>
      <c r="E55" s="2"/>
      <c r="H55" s="2"/>
      <c r="I55" s="3"/>
    </row>
    <row r="56" spans="2:9" ht="12.75">
      <c r="B56" s="2"/>
      <c r="C56" s="2"/>
      <c r="D56" s="2"/>
      <c r="E56" s="2"/>
      <c r="H56" s="2"/>
      <c r="I56" s="3"/>
    </row>
    <row r="57" spans="2:9" ht="12.75">
      <c r="B57" s="2"/>
      <c r="C57" s="2"/>
      <c r="D57" s="2"/>
      <c r="E57" s="2"/>
      <c r="H57" s="2"/>
      <c r="I57" s="3"/>
    </row>
    <row r="58" spans="2:9" ht="12.75">
      <c r="B58" s="2"/>
      <c r="C58" s="2"/>
      <c r="D58" s="2"/>
      <c r="E58" s="2"/>
      <c r="H58" s="2"/>
      <c r="I58" s="3"/>
    </row>
    <row r="59" spans="2:9" ht="12.75">
      <c r="B59" s="2"/>
      <c r="C59" s="2"/>
      <c r="D59" s="2"/>
      <c r="E59" s="2"/>
      <c r="H59" s="2"/>
      <c r="I59" s="3"/>
    </row>
    <row r="60" spans="2:9" ht="12.75">
      <c r="B60" s="2"/>
      <c r="C60" s="2"/>
      <c r="D60" s="2"/>
      <c r="E60" s="2"/>
      <c r="H60" s="2"/>
      <c r="I60" s="3"/>
    </row>
    <row r="61" spans="2:9" ht="12.75">
      <c r="B61" s="2"/>
      <c r="C61" s="2"/>
      <c r="D61" s="2"/>
      <c r="E61" s="2"/>
      <c r="H61" s="2"/>
      <c r="I61" s="3"/>
    </row>
    <row r="62" spans="2:9" ht="12.75">
      <c r="B62" s="2"/>
      <c r="C62" s="2"/>
      <c r="D62" s="2"/>
      <c r="E62" s="2"/>
      <c r="H62" s="2"/>
      <c r="I62" s="3"/>
    </row>
    <row r="63" spans="2:9" ht="12.75">
      <c r="B63" s="2"/>
      <c r="C63" s="2"/>
      <c r="D63" s="2"/>
      <c r="E63" s="2"/>
      <c r="H63" s="2"/>
      <c r="I63" s="3"/>
    </row>
    <row r="64" spans="2:9" ht="12.75">
      <c r="B64" s="2"/>
      <c r="C64" s="2"/>
      <c r="D64" s="2"/>
      <c r="E64" s="2"/>
      <c r="H64" s="2"/>
      <c r="I64" s="3"/>
    </row>
    <row r="65" spans="2:9" ht="12.75">
      <c r="B65" s="2"/>
      <c r="C65" s="2"/>
      <c r="D65" s="2"/>
      <c r="E65" s="2"/>
      <c r="H65" s="2"/>
      <c r="I65" s="3"/>
    </row>
    <row r="66" spans="2:9" ht="12.75">
      <c r="B66" s="2"/>
      <c r="C66" s="2"/>
      <c r="D66" s="2"/>
      <c r="E66" s="2"/>
      <c r="H66" s="2"/>
      <c r="I66" s="3"/>
    </row>
    <row r="67" spans="2:9" ht="12.75">
      <c r="B67" s="2"/>
      <c r="C67" s="2"/>
      <c r="D67" s="2"/>
      <c r="E67" s="2"/>
      <c r="H67" s="2"/>
      <c r="I67" s="3"/>
    </row>
    <row r="68" spans="2:9" ht="12.75">
      <c r="B68" s="2"/>
      <c r="C68" s="2"/>
      <c r="D68" s="2"/>
      <c r="E68" s="2"/>
      <c r="H68" s="2"/>
      <c r="I68" s="3"/>
    </row>
    <row r="69" spans="2:9" ht="12.75">
      <c r="B69" s="2"/>
      <c r="C69" s="2"/>
      <c r="D69" s="2"/>
      <c r="E69" s="2"/>
      <c r="H69" s="2"/>
      <c r="I69" s="3"/>
    </row>
    <row r="70" spans="2:9" ht="12.75">
      <c r="B70" s="2"/>
      <c r="C70" s="2"/>
      <c r="D70" s="2"/>
      <c r="E70" s="2"/>
      <c r="H70" s="2"/>
      <c r="I70" s="3"/>
    </row>
    <row r="71" spans="2:9" ht="12.75">
      <c r="B71" s="2"/>
      <c r="C71" s="2"/>
      <c r="D71" s="2"/>
      <c r="E71" s="2"/>
      <c r="H71" s="2"/>
      <c r="I71" s="3"/>
    </row>
    <row r="72" spans="2:9" ht="12.75">
      <c r="B72" s="2"/>
      <c r="C72" s="2"/>
      <c r="D72" s="2"/>
      <c r="E72" s="2"/>
      <c r="H72" s="2"/>
      <c r="I72" s="3"/>
    </row>
    <row r="73" spans="2:9" ht="12.75">
      <c r="B73" s="2"/>
      <c r="C73" s="2"/>
      <c r="D73" s="2"/>
      <c r="E73" s="2"/>
      <c r="H73" s="2"/>
      <c r="I73" s="3"/>
    </row>
    <row r="74" spans="2:9" ht="12.75">
      <c r="B74" s="2"/>
      <c r="C74" s="2"/>
      <c r="D74" s="2"/>
      <c r="E74" s="2"/>
      <c r="H74" s="2"/>
      <c r="I74" s="3"/>
    </row>
    <row r="75" spans="2:9" ht="12.75">
      <c r="B75" s="2"/>
      <c r="C75" s="2"/>
      <c r="D75" s="2"/>
      <c r="E75" s="2"/>
      <c r="H75" s="2"/>
      <c r="I75" s="3"/>
    </row>
    <row r="76" spans="2:9" ht="12.75">
      <c r="B76" s="2"/>
      <c r="C76" s="2"/>
      <c r="D76" s="2"/>
      <c r="E76" s="2"/>
      <c r="H76" s="2"/>
      <c r="I76" s="3"/>
    </row>
    <row r="77" spans="2:9" ht="12.75">
      <c r="B77" s="2"/>
      <c r="C77" s="2"/>
      <c r="D77" s="2"/>
      <c r="E77" s="2"/>
      <c r="H77" s="2"/>
      <c r="I77" s="3"/>
    </row>
    <row r="78" spans="2:9" ht="12.75">
      <c r="B78" s="2"/>
      <c r="C78" s="2"/>
      <c r="D78" s="2"/>
      <c r="E78" s="2"/>
      <c r="H78" s="2"/>
      <c r="I78" s="3"/>
    </row>
    <row r="79" spans="2:9" ht="12.75">
      <c r="B79" s="2"/>
      <c r="C79" s="2"/>
      <c r="D79" s="2"/>
      <c r="E79" s="2"/>
      <c r="H79" s="2"/>
      <c r="I79" s="3"/>
    </row>
    <row r="80" spans="2:9" ht="12.75">
      <c r="B80" s="2"/>
      <c r="C80" s="2"/>
      <c r="D80" s="2"/>
      <c r="E80" s="2"/>
      <c r="H80" s="2"/>
      <c r="I80" s="3"/>
    </row>
    <row r="81" spans="2:9" ht="12.75">
      <c r="B81" s="2"/>
      <c r="C81" s="2"/>
      <c r="D81" s="2"/>
      <c r="E81" s="2"/>
      <c r="H81" s="2"/>
      <c r="I81" s="3"/>
    </row>
    <row r="82" spans="2:9" ht="12.75">
      <c r="B82" s="2"/>
      <c r="C82" s="2"/>
      <c r="D82" s="2"/>
      <c r="E82" s="2"/>
      <c r="H82" s="2"/>
      <c r="I82" s="3"/>
    </row>
    <row r="83" spans="2:9" ht="12.75">
      <c r="B83" s="2"/>
      <c r="C83" s="2"/>
      <c r="D83" s="2"/>
      <c r="E83" s="2"/>
      <c r="H83" s="2"/>
      <c r="I83" s="3"/>
    </row>
    <row r="84" spans="2:9" ht="12.75">
      <c r="B84" s="2"/>
      <c r="C84" s="2"/>
      <c r="D84" s="2"/>
      <c r="E84" s="2"/>
      <c r="H84" s="2"/>
      <c r="I84" s="3"/>
    </row>
    <row r="85" spans="2:9" ht="12.75">
      <c r="B85" s="2"/>
      <c r="C85" s="2"/>
      <c r="D85" s="2"/>
      <c r="E85" s="2"/>
      <c r="H85" s="2"/>
      <c r="I85" s="3"/>
    </row>
    <row r="86" spans="2:9" ht="12.75">
      <c r="B86" s="2"/>
      <c r="C86" s="2"/>
      <c r="D86" s="2"/>
      <c r="E86" s="2"/>
      <c r="H86" s="2"/>
      <c r="I86" s="3"/>
    </row>
    <row r="87" spans="2:9" ht="12.75">
      <c r="B87" s="2"/>
      <c r="C87" s="2"/>
      <c r="D87" s="2"/>
      <c r="E87" s="2"/>
      <c r="H87" s="2"/>
      <c r="I87" s="3"/>
    </row>
    <row r="88" spans="2:9" ht="12.75">
      <c r="B88" s="2"/>
      <c r="C88" s="2"/>
      <c r="D88" s="2"/>
      <c r="E88" s="2"/>
      <c r="H88" s="2"/>
      <c r="I88" s="3"/>
    </row>
    <row r="89" spans="2:9" ht="12.75">
      <c r="B89" s="2"/>
      <c r="C89" s="2"/>
      <c r="D89" s="2"/>
      <c r="E89" s="2"/>
      <c r="H89" s="2"/>
      <c r="I89" s="3"/>
    </row>
    <row r="90" spans="2:9" ht="12.75">
      <c r="B90" s="2"/>
      <c r="C90" s="2"/>
      <c r="D90" s="2"/>
      <c r="E90" s="2"/>
      <c r="H90" s="2"/>
      <c r="I90" s="3"/>
    </row>
    <row r="91" spans="2:9" ht="12.75">
      <c r="B91" s="2"/>
      <c r="C91" s="2"/>
      <c r="D91" s="2"/>
      <c r="E91" s="2"/>
      <c r="H91" s="2"/>
      <c r="I91" s="3"/>
    </row>
    <row r="92" spans="2:9" ht="12.75">
      <c r="B92" s="2"/>
      <c r="C92" s="2"/>
      <c r="D92" s="2"/>
      <c r="E92" s="2"/>
      <c r="H92" s="2"/>
      <c r="I92" s="3"/>
    </row>
    <row r="93" spans="2:9" ht="12.75">
      <c r="B93" s="2"/>
      <c r="C93" s="2"/>
      <c r="D93" s="2"/>
      <c r="E93" s="2"/>
      <c r="H93" s="2"/>
      <c r="I93" s="3"/>
    </row>
    <row r="94" spans="2:9" ht="12.75">
      <c r="B94" s="2"/>
      <c r="C94" s="2"/>
      <c r="D94" s="2"/>
      <c r="E94" s="2"/>
      <c r="H94" s="2"/>
      <c r="I94" s="3"/>
    </row>
    <row r="95" spans="2:9" ht="12.75">
      <c r="B95" s="2"/>
      <c r="C95" s="2"/>
      <c r="D95" s="2"/>
      <c r="E95" s="2"/>
      <c r="H95" s="2"/>
      <c r="I95" s="3"/>
    </row>
    <row r="96" spans="2:9" ht="12.75">
      <c r="B96" s="2"/>
      <c r="C96" s="2"/>
      <c r="D96" s="2"/>
      <c r="E96" s="2"/>
      <c r="H96" s="2"/>
      <c r="I96" s="3"/>
    </row>
    <row r="97" spans="2:9" ht="12.75">
      <c r="B97" s="2"/>
      <c r="C97" s="2"/>
      <c r="D97" s="2"/>
      <c r="E97" s="2"/>
      <c r="H97" s="2"/>
      <c r="I97" s="3"/>
    </row>
    <row r="98" spans="2:9" ht="12.75">
      <c r="B98" s="2"/>
      <c r="C98" s="2"/>
      <c r="D98" s="2"/>
      <c r="E98" s="2"/>
      <c r="H98" s="2"/>
      <c r="I98" s="3"/>
    </row>
    <row r="99" spans="2:9" ht="12.75">
      <c r="B99" s="2"/>
      <c r="C99" s="2"/>
      <c r="D99" s="2"/>
      <c r="E99" s="2"/>
      <c r="H99" s="2"/>
      <c r="I99" s="3"/>
    </row>
    <row r="100" spans="2:9" ht="12.75">
      <c r="B100" s="2"/>
      <c r="C100" s="2"/>
      <c r="D100" s="2"/>
      <c r="E100" s="2"/>
      <c r="H100" s="2"/>
      <c r="I100" s="3"/>
    </row>
    <row r="101" spans="2:9" ht="12.75">
      <c r="B101" s="2"/>
      <c r="C101" s="2"/>
      <c r="D101" s="2"/>
      <c r="E101" s="2"/>
      <c r="H101" s="2"/>
      <c r="I101" s="3"/>
    </row>
    <row r="102" spans="2:9" ht="12.75">
      <c r="B102" s="2"/>
      <c r="C102" s="2"/>
      <c r="D102" s="2"/>
      <c r="E102" s="2"/>
      <c r="H102" s="2"/>
      <c r="I102" s="3"/>
    </row>
    <row r="103" spans="2:9" ht="12.75">
      <c r="B103" s="2"/>
      <c r="C103" s="2"/>
      <c r="D103" s="2"/>
      <c r="E103" s="2"/>
      <c r="H103" s="2"/>
      <c r="I103" s="3"/>
    </row>
    <row r="104" spans="2:9" ht="12.75">
      <c r="B104" s="2"/>
      <c r="C104" s="2"/>
      <c r="D104" s="2"/>
      <c r="E104" s="2"/>
      <c r="H104" s="2"/>
      <c r="I104" s="3"/>
    </row>
    <row r="105" spans="2:9" ht="12.75">
      <c r="B105" s="2"/>
      <c r="C105" s="2"/>
      <c r="D105" s="2"/>
      <c r="E105" s="2"/>
      <c r="H105" s="2"/>
      <c r="I105" s="3"/>
    </row>
    <row r="106" spans="2:9" ht="12.75">
      <c r="B106" s="2"/>
      <c r="C106" s="2"/>
      <c r="D106" s="2"/>
      <c r="E106" s="2"/>
      <c r="H106" s="2"/>
      <c r="I106" s="3"/>
    </row>
    <row r="107" spans="2:9" ht="12.75">
      <c r="B107" s="2"/>
      <c r="C107" s="2"/>
      <c r="D107" s="2"/>
      <c r="E107" s="2"/>
      <c r="H107" s="2"/>
      <c r="I107" s="3"/>
    </row>
    <row r="108" spans="2:9" ht="12.75">
      <c r="B108" s="2"/>
      <c r="C108" s="2"/>
      <c r="D108" s="2"/>
      <c r="E108" s="2"/>
      <c r="H108" s="2"/>
      <c r="I108" s="3"/>
    </row>
    <row r="109" spans="2:9" ht="12.75">
      <c r="B109" s="2"/>
      <c r="C109" s="2"/>
      <c r="D109" s="2"/>
      <c r="E109" s="2"/>
      <c r="H109" s="2"/>
      <c r="I109" s="3"/>
    </row>
    <row r="110" spans="2:9" ht="12.75">
      <c r="B110" s="2"/>
      <c r="C110" s="2"/>
      <c r="D110" s="2"/>
      <c r="E110" s="2"/>
      <c r="H110" s="2"/>
      <c r="I110" s="3"/>
    </row>
    <row r="111" spans="2:9" ht="12.75">
      <c r="B111" s="2"/>
      <c r="C111" s="2"/>
      <c r="D111" s="2"/>
      <c r="E111" s="2"/>
      <c r="H111" s="2"/>
      <c r="I111" s="3"/>
    </row>
    <row r="112" spans="2:9" ht="12.75">
      <c r="B112" s="2"/>
      <c r="C112" s="2"/>
      <c r="D112" s="2"/>
      <c r="E112" s="2"/>
      <c r="H112" s="2"/>
      <c r="I112" s="3"/>
    </row>
    <row r="113" spans="2:9" ht="12.75">
      <c r="B113" s="2"/>
      <c r="C113" s="2"/>
      <c r="D113" s="2"/>
      <c r="E113" s="2"/>
      <c r="H113" s="2"/>
      <c r="I113" s="3"/>
    </row>
    <row r="114" spans="2:9" ht="12.75">
      <c r="B114" s="2"/>
      <c r="C114" s="2"/>
      <c r="D114" s="2"/>
      <c r="E114" s="2"/>
      <c r="H114" s="2"/>
      <c r="I114" s="3"/>
    </row>
    <row r="115" spans="2:9" ht="12.75">
      <c r="B115" s="2"/>
      <c r="C115" s="2"/>
      <c r="D115" s="2"/>
      <c r="E115" s="2"/>
      <c r="H115" s="2"/>
      <c r="I115" s="3"/>
    </row>
    <row r="116" spans="2:9" ht="12.75">
      <c r="B116" s="2"/>
      <c r="C116" s="2"/>
      <c r="D116" s="2"/>
      <c r="E116" s="2"/>
      <c r="H116" s="2"/>
      <c r="I116" s="3"/>
    </row>
    <row r="117" spans="2:9" ht="12.75">
      <c r="B117" s="2"/>
      <c r="C117" s="2"/>
      <c r="D117" s="2"/>
      <c r="E117" s="2"/>
      <c r="H117" s="2"/>
      <c r="I117" s="3"/>
    </row>
    <row r="118" spans="2:9" ht="12.75">
      <c r="B118" s="2"/>
      <c r="C118" s="2"/>
      <c r="D118" s="2"/>
      <c r="E118" s="2"/>
      <c r="H118" s="2"/>
      <c r="I118" s="3"/>
    </row>
    <row r="119" spans="2:9" ht="12.75">
      <c r="B119" s="2"/>
      <c r="C119" s="2"/>
      <c r="D119" s="2"/>
      <c r="E119" s="2"/>
      <c r="H119" s="2"/>
      <c r="I119" s="3"/>
    </row>
    <row r="120" spans="2:9" ht="12.75">
      <c r="B120" s="2"/>
      <c r="C120" s="2"/>
      <c r="D120" s="2"/>
      <c r="E120" s="2"/>
      <c r="H120" s="2"/>
      <c r="I120" s="3"/>
    </row>
    <row r="121" spans="2:9" ht="12.75">
      <c r="B121" s="2"/>
      <c r="C121" s="2"/>
      <c r="D121" s="2"/>
      <c r="E121" s="2"/>
      <c r="H121" s="2"/>
      <c r="I121" s="3"/>
    </row>
    <row r="122" spans="2:9" ht="12.75">
      <c r="B122" s="2"/>
      <c r="C122" s="2"/>
      <c r="D122" s="2"/>
      <c r="E122" s="2"/>
      <c r="H122" s="2"/>
      <c r="I122" s="3"/>
    </row>
    <row r="123" spans="2:9" ht="12.75">
      <c r="B123" s="2"/>
      <c r="C123" s="2"/>
      <c r="D123" s="2"/>
      <c r="E123" s="2"/>
      <c r="H123" s="2"/>
      <c r="I123" s="3"/>
    </row>
    <row r="124" spans="2:9" ht="12.75">
      <c r="B124" s="2"/>
      <c r="C124" s="2"/>
      <c r="D124" s="2"/>
      <c r="E124" s="2"/>
      <c r="H124" s="2"/>
      <c r="I124" s="3"/>
    </row>
    <row r="125" spans="2:9" ht="12.75">
      <c r="B125" s="2"/>
      <c r="C125" s="2"/>
      <c r="D125" s="2"/>
      <c r="E125" s="2"/>
      <c r="H125" s="2"/>
      <c r="I125" s="3"/>
    </row>
    <row r="126" spans="2:9" ht="12.75">
      <c r="B126" s="2"/>
      <c r="C126" s="2"/>
      <c r="D126" s="2"/>
      <c r="E126" s="2"/>
      <c r="H126" s="2"/>
      <c r="I126" s="3"/>
    </row>
    <row r="127" spans="2:9" ht="12.75">
      <c r="B127" s="2"/>
      <c r="C127" s="2"/>
      <c r="D127" s="2"/>
      <c r="E127" s="2"/>
      <c r="H127" s="2"/>
      <c r="I127" s="3"/>
    </row>
    <row r="128" spans="2:9" ht="12.75">
      <c r="B128" s="2"/>
      <c r="C128" s="2"/>
      <c r="D128" s="2"/>
      <c r="E128" s="2"/>
      <c r="H128" s="2"/>
      <c r="I128" s="3"/>
    </row>
    <row r="129" spans="2:9" ht="12.75">
      <c r="B129" s="2"/>
      <c r="C129" s="2"/>
      <c r="D129" s="2"/>
      <c r="E129" s="2"/>
      <c r="H129" s="2"/>
      <c r="I129" s="3"/>
    </row>
    <row r="130" spans="2:9" ht="12.75">
      <c r="B130" s="2"/>
      <c r="C130" s="2"/>
      <c r="D130" s="2"/>
      <c r="E130" s="2"/>
      <c r="H130" s="2"/>
      <c r="I130" s="3"/>
    </row>
    <row r="131" spans="2:9" ht="12.75">
      <c r="B131" s="2"/>
      <c r="C131" s="2"/>
      <c r="D131" s="2"/>
      <c r="E131" s="2"/>
      <c r="H131" s="2"/>
      <c r="I131" s="3"/>
    </row>
    <row r="132" spans="2:9" ht="12.75">
      <c r="B132" s="2"/>
      <c r="C132" s="2"/>
      <c r="D132" s="2"/>
      <c r="E132" s="2"/>
      <c r="H132" s="2"/>
      <c r="I132" s="3"/>
    </row>
    <row r="133" spans="2:9" ht="12.75">
      <c r="B133" s="2"/>
      <c r="C133" s="2"/>
      <c r="D133" s="2"/>
      <c r="E133" s="2"/>
      <c r="H133" s="2"/>
      <c r="I133" s="3"/>
    </row>
    <row r="134" spans="2:9" ht="12.75">
      <c r="B134" s="2"/>
      <c r="C134" s="2"/>
      <c r="D134" s="2"/>
      <c r="E134" s="2"/>
      <c r="H134" s="2"/>
      <c r="I134" s="3"/>
    </row>
    <row r="135" spans="2:9" ht="12.75">
      <c r="B135" s="2"/>
      <c r="C135" s="2"/>
      <c r="D135" s="2"/>
      <c r="E135" s="2"/>
      <c r="H135" s="2"/>
      <c r="I135" s="3"/>
    </row>
    <row r="136" spans="2:9" ht="12.75">
      <c r="B136" s="2"/>
      <c r="C136" s="2"/>
      <c r="D136" s="2"/>
      <c r="E136" s="2"/>
      <c r="H136" s="2"/>
      <c r="I136" s="3"/>
    </row>
    <row r="137" spans="2:9" ht="12.75">
      <c r="B137" s="2"/>
      <c r="C137" s="2"/>
      <c r="D137" s="2"/>
      <c r="E137" s="2"/>
      <c r="H137" s="2"/>
      <c r="I137" s="3"/>
    </row>
    <row r="138" spans="2:9" ht="12.75">
      <c r="B138" s="2"/>
      <c r="C138" s="2"/>
      <c r="D138" s="2"/>
      <c r="E138" s="2"/>
      <c r="H138" s="2"/>
      <c r="I138" s="3"/>
    </row>
    <row r="139" spans="2:9" ht="12.75">
      <c r="B139" s="2"/>
      <c r="C139" s="2"/>
      <c r="D139" s="2"/>
      <c r="E139" s="2"/>
      <c r="H139" s="2"/>
      <c r="I139" s="3"/>
    </row>
    <row r="140" spans="2:9" ht="12.75">
      <c r="B140" s="2"/>
      <c r="C140" s="2"/>
      <c r="D140" s="2"/>
      <c r="E140" s="2"/>
      <c r="H140" s="2"/>
      <c r="I140" s="3"/>
    </row>
    <row r="141" spans="2:9" ht="12.75">
      <c r="B141" s="2"/>
      <c r="C141" s="2"/>
      <c r="D141" s="2"/>
      <c r="E141" s="2"/>
      <c r="H141" s="2"/>
      <c r="I141" s="3"/>
    </row>
    <row r="142" spans="2:9" ht="12.75">
      <c r="B142" s="2"/>
      <c r="C142" s="2"/>
      <c r="D142" s="2"/>
      <c r="E142" s="2"/>
      <c r="H142" s="2"/>
      <c r="I142" s="3"/>
    </row>
    <row r="143" spans="2:9" ht="12.75">
      <c r="B143" s="2"/>
      <c r="C143" s="2"/>
      <c r="D143" s="2"/>
      <c r="E143" s="2"/>
      <c r="H143" s="2"/>
      <c r="I143" s="3"/>
    </row>
    <row r="144" spans="2:9" ht="12.75">
      <c r="B144" s="2"/>
      <c r="C144" s="2"/>
      <c r="D144" s="2"/>
      <c r="E144" s="2"/>
      <c r="H144" s="2"/>
      <c r="I144" s="3"/>
    </row>
    <row r="145" spans="2:9" ht="12.75">
      <c r="B145" s="2"/>
      <c r="C145" s="2"/>
      <c r="D145" s="2"/>
      <c r="E145" s="2"/>
      <c r="H145" s="2"/>
      <c r="I145" s="3"/>
    </row>
    <row r="146" spans="2:9" ht="12.75">
      <c r="B146" s="2"/>
      <c r="C146" s="2"/>
      <c r="D146" s="2"/>
      <c r="E146" s="2"/>
      <c r="H146" s="2"/>
      <c r="I146" s="3"/>
    </row>
    <row r="147" spans="2:9" ht="12.75">
      <c r="B147" s="2"/>
      <c r="C147" s="2"/>
      <c r="D147" s="2"/>
      <c r="E147" s="2"/>
      <c r="H147" s="2"/>
      <c r="I147" s="3"/>
    </row>
    <row r="148" spans="2:9" ht="12.75">
      <c r="B148" s="2"/>
      <c r="C148" s="2"/>
      <c r="D148" s="2"/>
      <c r="E148" s="2"/>
      <c r="H148" s="2"/>
      <c r="I148" s="3"/>
    </row>
    <row r="149" spans="2:9" ht="12.75">
      <c r="B149" s="2"/>
      <c r="C149" s="2"/>
      <c r="D149" s="2"/>
      <c r="E149" s="2"/>
      <c r="H149" s="2"/>
      <c r="I149" s="3"/>
    </row>
    <row r="150" spans="2:9" ht="12.75">
      <c r="B150" s="2"/>
      <c r="C150" s="2"/>
      <c r="D150" s="2"/>
      <c r="E150" s="2"/>
      <c r="H150" s="2"/>
      <c r="I150" s="3"/>
    </row>
    <row r="151" spans="2:9" ht="12.75">
      <c r="B151" s="2"/>
      <c r="C151" s="2"/>
      <c r="D151" s="2"/>
      <c r="E151" s="2"/>
      <c r="H151" s="2"/>
      <c r="I151" s="3"/>
    </row>
    <row r="152" spans="2:9" ht="12.75">
      <c r="B152" s="2"/>
      <c r="C152" s="2"/>
      <c r="D152" s="2"/>
      <c r="E152" s="2"/>
      <c r="H152" s="2"/>
      <c r="I152" s="3"/>
    </row>
    <row r="153" spans="2:9" ht="12.75">
      <c r="B153" s="2"/>
      <c r="C153" s="2"/>
      <c r="D153" s="2"/>
      <c r="E153" s="2"/>
      <c r="H153" s="2"/>
      <c r="I153" s="3"/>
    </row>
    <row r="154" spans="2:9" ht="12.75">
      <c r="B154" s="2"/>
      <c r="C154" s="2"/>
      <c r="D154" s="2"/>
      <c r="E154" s="2"/>
      <c r="H154" s="2"/>
      <c r="I154" s="3"/>
    </row>
    <row r="155" spans="2:9" ht="12.75">
      <c r="B155" s="2"/>
      <c r="C155" s="2"/>
      <c r="D155" s="2"/>
      <c r="E155" s="2"/>
      <c r="H155" s="2"/>
      <c r="I155" s="3"/>
    </row>
    <row r="156" spans="2:9" ht="12.75">
      <c r="B156" s="2"/>
      <c r="C156" s="2"/>
      <c r="D156" s="2"/>
      <c r="E156" s="2"/>
      <c r="H156" s="2"/>
      <c r="I156" s="3"/>
    </row>
    <row r="157" spans="2:9" ht="12.75">
      <c r="B157" s="2"/>
      <c r="C157" s="2"/>
      <c r="D157" s="2"/>
      <c r="E157" s="2"/>
      <c r="H157" s="2"/>
      <c r="I157" s="3"/>
    </row>
    <row r="158" spans="2:9" ht="12.75">
      <c r="B158" s="2"/>
      <c r="C158" s="2"/>
      <c r="D158" s="2"/>
      <c r="E158" s="2"/>
      <c r="H158" s="2"/>
      <c r="I158" s="3"/>
    </row>
    <row r="159" spans="2:9" ht="12.75">
      <c r="B159" s="2"/>
      <c r="C159" s="2"/>
      <c r="D159" s="2"/>
      <c r="E159" s="2"/>
      <c r="H159" s="2"/>
      <c r="I159" s="3"/>
    </row>
    <row r="160" spans="2:9" ht="12.75">
      <c r="B160" s="2"/>
      <c r="C160" s="2"/>
      <c r="D160" s="2"/>
      <c r="E160" s="2"/>
      <c r="H160" s="2"/>
      <c r="I160" s="3"/>
    </row>
    <row r="161" spans="2:9" ht="12.75">
      <c r="B161" s="2"/>
      <c r="C161" s="2"/>
      <c r="D161" s="2"/>
      <c r="E161" s="2"/>
      <c r="H161" s="2"/>
      <c r="I161" s="3"/>
    </row>
    <row r="162" spans="2:9" ht="12.75">
      <c r="B162" s="2"/>
      <c r="C162" s="2"/>
      <c r="D162" s="2"/>
      <c r="E162" s="2"/>
      <c r="H162" s="2"/>
      <c r="I162" s="3"/>
    </row>
    <row r="163" spans="2:9" ht="12.75">
      <c r="B163" s="2"/>
      <c r="C163" s="2"/>
      <c r="D163" s="2"/>
      <c r="E163" s="2"/>
      <c r="H163" s="2"/>
      <c r="I163" s="3"/>
    </row>
    <row r="164" spans="2:9" ht="12.75">
      <c r="B164" s="2"/>
      <c r="C164" s="2"/>
      <c r="D164" s="2"/>
      <c r="E164" s="2"/>
      <c r="H164" s="2"/>
      <c r="I164" s="3"/>
    </row>
    <row r="165" spans="2:9" ht="12.75">
      <c r="B165" s="2"/>
      <c r="C165" s="2"/>
      <c r="D165" s="2"/>
      <c r="E165" s="2"/>
      <c r="H165" s="2"/>
      <c r="I165" s="3"/>
    </row>
    <row r="166" spans="2:9" ht="12.75">
      <c r="B166" s="2"/>
      <c r="C166" s="2"/>
      <c r="D166" s="2"/>
      <c r="E166" s="2"/>
      <c r="H166" s="2"/>
      <c r="I166" s="3"/>
    </row>
    <row r="167" spans="2:9" ht="12.75">
      <c r="B167" s="2"/>
      <c r="C167" s="2"/>
      <c r="D167" s="2"/>
      <c r="E167" s="2"/>
      <c r="H167" s="2"/>
      <c r="I167" s="3"/>
    </row>
    <row r="168" spans="2:9" ht="12.75">
      <c r="B168" s="2"/>
      <c r="C168" s="2"/>
      <c r="D168" s="2"/>
      <c r="E168" s="2"/>
      <c r="H168" s="2"/>
      <c r="I168" s="3"/>
    </row>
    <row r="169" spans="2:9" ht="12.75">
      <c r="B169" s="2"/>
      <c r="C169" s="2"/>
      <c r="D169" s="2"/>
      <c r="E169" s="2"/>
      <c r="H169" s="2"/>
      <c r="I169" s="3"/>
    </row>
    <row r="170" spans="2:9" ht="12.75">
      <c r="B170" s="2"/>
      <c r="C170" s="2"/>
      <c r="D170" s="2"/>
      <c r="E170" s="2"/>
      <c r="H170" s="2"/>
      <c r="I170" s="3"/>
    </row>
    <row r="171" spans="2:9" ht="12.75">
      <c r="B171" s="2"/>
      <c r="C171" s="2"/>
      <c r="D171" s="2"/>
      <c r="E171" s="2"/>
      <c r="H171" s="2"/>
      <c r="I171" s="3"/>
    </row>
    <row r="172" spans="2:9" ht="12.75">
      <c r="B172" s="2"/>
      <c r="C172" s="2"/>
      <c r="D172" s="2"/>
      <c r="E172" s="2"/>
      <c r="H172" s="2"/>
      <c r="I172" s="3"/>
    </row>
    <row r="173" spans="2:9" ht="12.75">
      <c r="B173" s="2"/>
      <c r="C173" s="2"/>
      <c r="D173" s="2"/>
      <c r="E173" s="2"/>
      <c r="H173" s="2"/>
      <c r="I173" s="3"/>
    </row>
    <row r="174" spans="2:9" ht="12.75">
      <c r="B174" s="2"/>
      <c r="C174" s="2"/>
      <c r="D174" s="2"/>
      <c r="E174" s="2"/>
      <c r="H174" s="2"/>
      <c r="I174" s="3"/>
    </row>
    <row r="175" spans="2:9" ht="12.75">
      <c r="B175" s="2"/>
      <c r="C175" s="2"/>
      <c r="D175" s="2"/>
      <c r="E175" s="2"/>
      <c r="H175" s="2"/>
      <c r="I175" s="3"/>
    </row>
    <row r="176" spans="2:9" ht="12.75">
      <c r="B176" s="2"/>
      <c r="C176" s="2"/>
      <c r="D176" s="2"/>
      <c r="E176" s="2"/>
      <c r="H176" s="2"/>
      <c r="I176" s="3"/>
    </row>
    <row r="177" spans="2:9" ht="12.75">
      <c r="B177" s="2"/>
      <c r="C177" s="2"/>
      <c r="D177" s="2"/>
      <c r="E177" s="2"/>
      <c r="H177" s="2"/>
      <c r="I177" s="3"/>
    </row>
    <row r="178" spans="2:9" ht="12.75">
      <c r="B178" s="2"/>
      <c r="C178" s="2"/>
      <c r="D178" s="2"/>
      <c r="E178" s="2"/>
      <c r="H178" s="2"/>
      <c r="I178" s="3"/>
    </row>
    <row r="179" spans="2:9" ht="12.75">
      <c r="B179" s="2"/>
      <c r="C179" s="2"/>
      <c r="D179" s="2"/>
      <c r="E179" s="2"/>
      <c r="H179" s="2"/>
      <c r="I179" s="3"/>
    </row>
    <row r="180" spans="2:9" ht="12.75">
      <c r="B180" s="2"/>
      <c r="C180" s="2"/>
      <c r="D180" s="2"/>
      <c r="E180" s="2"/>
      <c r="H180" s="2"/>
      <c r="I180" s="3"/>
    </row>
    <row r="181" spans="2:9" ht="12.75">
      <c r="B181" s="2"/>
      <c r="C181" s="2"/>
      <c r="D181" s="2"/>
      <c r="E181" s="2"/>
      <c r="H181" s="2"/>
      <c r="I181" s="3"/>
    </row>
    <row r="182" spans="2:9" ht="12.75">
      <c r="B182" s="2"/>
      <c r="C182" s="2"/>
      <c r="D182" s="2"/>
      <c r="E182" s="2"/>
      <c r="H182" s="2"/>
      <c r="I182" s="3"/>
    </row>
    <row r="183" spans="2:9" ht="12.75">
      <c r="B183" s="2"/>
      <c r="C183" s="2"/>
      <c r="D183" s="2"/>
      <c r="E183" s="2"/>
      <c r="H183" s="2"/>
      <c r="I183" s="3"/>
    </row>
    <row r="184" spans="2:9" ht="12.75">
      <c r="B184" s="2"/>
      <c r="C184" s="2"/>
      <c r="D184" s="2"/>
      <c r="E184" s="2"/>
      <c r="H184" s="2"/>
      <c r="I184" s="3"/>
    </row>
    <row r="185" spans="2:9" ht="12.75">
      <c r="B185" s="2"/>
      <c r="C185" s="2"/>
      <c r="D185" s="2"/>
      <c r="E185" s="2"/>
      <c r="H185" s="2"/>
      <c r="I185" s="3"/>
    </row>
    <row r="186" spans="2:9" ht="12.75">
      <c r="B186" s="2"/>
      <c r="C186" s="2"/>
      <c r="D186" s="2"/>
      <c r="E186" s="2"/>
      <c r="H186" s="2"/>
      <c r="I186" s="3"/>
    </row>
    <row r="187" spans="2:9" ht="12.75">
      <c r="B187" s="2"/>
      <c r="C187" s="2"/>
      <c r="D187" s="2"/>
      <c r="E187" s="2"/>
      <c r="H187" s="2"/>
      <c r="I187" s="3"/>
    </row>
    <row r="188" spans="2:9" ht="12.75">
      <c r="B188" s="2"/>
      <c r="C188" s="2"/>
      <c r="D188" s="2"/>
      <c r="E188" s="2"/>
      <c r="H188" s="2"/>
      <c r="I188" s="3"/>
    </row>
    <row r="189" spans="2:9" ht="12.75">
      <c r="B189" s="2"/>
      <c r="C189" s="2"/>
      <c r="D189" s="2"/>
      <c r="E189" s="2"/>
      <c r="H189" s="2"/>
      <c r="I189" s="3"/>
    </row>
    <row r="190" spans="2:9" ht="12.75">
      <c r="B190" s="2"/>
      <c r="C190" s="2"/>
      <c r="D190" s="2"/>
      <c r="E190" s="2"/>
      <c r="H190" s="2"/>
      <c r="I190" s="3"/>
    </row>
    <row r="191" spans="2:9" ht="12.75">
      <c r="B191" s="2"/>
      <c r="C191" s="2"/>
      <c r="D191" s="2"/>
      <c r="E191" s="2"/>
      <c r="H191" s="2"/>
      <c r="I191" s="3"/>
    </row>
    <row r="192" spans="2:9" ht="12.75">
      <c r="B192" s="2"/>
      <c r="C192" s="2"/>
      <c r="D192" s="2"/>
      <c r="E192" s="2"/>
      <c r="H192" s="2"/>
      <c r="I192" s="3"/>
    </row>
    <row r="193" spans="2:9" ht="12.75">
      <c r="B193" s="2"/>
      <c r="C193" s="2"/>
      <c r="D193" s="2"/>
      <c r="E193" s="2"/>
      <c r="H193" s="2"/>
      <c r="I193" s="3"/>
    </row>
    <row r="194" spans="2:9" ht="12.75">
      <c r="B194" s="2"/>
      <c r="C194" s="2"/>
      <c r="D194" s="2"/>
      <c r="E194" s="2"/>
      <c r="H194" s="2"/>
      <c r="I194" s="3"/>
    </row>
    <row r="195" spans="2:9" ht="12.75">
      <c r="B195" s="2"/>
      <c r="C195" s="2"/>
      <c r="D195" s="2"/>
      <c r="E195" s="2"/>
      <c r="H195" s="2"/>
      <c r="I195" s="3"/>
    </row>
    <row r="196" spans="2:9" ht="12.75">
      <c r="B196" s="2"/>
      <c r="C196" s="2"/>
      <c r="D196" s="2"/>
      <c r="E196" s="2"/>
      <c r="H196" s="2"/>
      <c r="I196" s="3"/>
    </row>
    <row r="197" spans="2:9" ht="12.75">
      <c r="B197" s="2"/>
      <c r="C197" s="2"/>
      <c r="D197" s="2"/>
      <c r="E197" s="2"/>
      <c r="H197" s="2"/>
      <c r="I197" s="3"/>
    </row>
    <row r="198" spans="2:9" ht="12.75">
      <c r="B198" s="2"/>
      <c r="C198" s="2"/>
      <c r="D198" s="2"/>
      <c r="E198" s="2"/>
      <c r="H198" s="2"/>
      <c r="I198" s="3"/>
    </row>
    <row r="199" spans="2:9" ht="12.75">
      <c r="B199" s="2"/>
      <c r="C199" s="2"/>
      <c r="D199" s="2"/>
      <c r="E199" s="2"/>
      <c r="H199" s="2"/>
      <c r="I199" s="3"/>
    </row>
    <row r="200" spans="2:9" ht="12.75">
      <c r="B200" s="2"/>
      <c r="C200" s="2"/>
      <c r="D200" s="2"/>
      <c r="E200" s="2"/>
      <c r="H200" s="2"/>
      <c r="I200" s="3"/>
    </row>
    <row r="201" spans="2:9" ht="12.75">
      <c r="B201" s="2"/>
      <c r="C201" s="2"/>
      <c r="D201" s="2"/>
      <c r="E201" s="2"/>
      <c r="H201" s="2"/>
      <c r="I201" s="3"/>
    </row>
    <row r="202" spans="2:9" ht="12.75">
      <c r="B202" s="2"/>
      <c r="C202" s="2"/>
      <c r="D202" s="2"/>
      <c r="E202" s="2"/>
      <c r="H202" s="2"/>
      <c r="I202" s="3"/>
    </row>
    <row r="203" spans="2:9" ht="12.75">
      <c r="B203" s="2"/>
      <c r="C203" s="2"/>
      <c r="D203" s="2"/>
      <c r="E203" s="2"/>
      <c r="H203" s="2"/>
      <c r="I203" s="3"/>
    </row>
    <row r="204" spans="2:9" ht="12.75">
      <c r="B204" s="2"/>
      <c r="C204" s="2"/>
      <c r="D204" s="2"/>
      <c r="E204" s="2"/>
      <c r="H204" s="2"/>
      <c r="I204" s="3"/>
    </row>
    <row r="205" spans="2:9" ht="12.75">
      <c r="B205" s="2"/>
      <c r="C205" s="2"/>
      <c r="D205" s="2"/>
      <c r="E205" s="2"/>
      <c r="H205" s="2"/>
      <c r="I205" s="3"/>
    </row>
    <row r="206" spans="2:9" ht="12.75">
      <c r="B206" s="2"/>
      <c r="C206" s="2"/>
      <c r="D206" s="2"/>
      <c r="E206" s="2"/>
      <c r="H206" s="2"/>
      <c r="I206" s="3"/>
    </row>
    <row r="207" spans="2:9" ht="12.75">
      <c r="B207" s="2"/>
      <c r="C207" s="2"/>
      <c r="D207" s="2"/>
      <c r="E207" s="2"/>
      <c r="H207" s="2"/>
      <c r="I207" s="3"/>
    </row>
    <row r="208" spans="2:9" ht="12.75">
      <c r="B208" s="2"/>
      <c r="C208" s="2"/>
      <c r="D208" s="2"/>
      <c r="E208" s="2"/>
      <c r="H208" s="2"/>
      <c r="I208" s="3"/>
    </row>
    <row r="209" spans="2:9" ht="12.75">
      <c r="B209" s="2"/>
      <c r="C209" s="2"/>
      <c r="D209" s="2"/>
      <c r="E209" s="2"/>
      <c r="H209" s="2"/>
      <c r="I209" s="3"/>
    </row>
    <row r="210" spans="2:9" ht="12.75">
      <c r="B210" s="2"/>
      <c r="C210" s="2"/>
      <c r="D210" s="2"/>
      <c r="E210" s="2"/>
      <c r="H210" s="2"/>
      <c r="I210" s="3"/>
    </row>
    <row r="211" spans="2:9" ht="12.75">
      <c r="B211" s="2"/>
      <c r="C211" s="2"/>
      <c r="D211" s="2"/>
      <c r="E211" s="2"/>
      <c r="H211" s="2"/>
      <c r="I211" s="3"/>
    </row>
    <row r="212" spans="2:9" ht="12.75">
      <c r="B212" s="2"/>
      <c r="C212" s="2"/>
      <c r="D212" s="2"/>
      <c r="E212" s="2"/>
      <c r="H212" s="2"/>
      <c r="I212" s="3"/>
    </row>
    <row r="213" spans="2:9" ht="12.75">
      <c r="B213" s="2"/>
      <c r="C213" s="2"/>
      <c r="D213" s="2"/>
      <c r="E213" s="2"/>
      <c r="H213" s="2"/>
      <c r="I213" s="3"/>
    </row>
    <row r="214" spans="2:9" ht="12.75">
      <c r="B214" s="2"/>
      <c r="C214" s="2"/>
      <c r="D214" s="2"/>
      <c r="E214" s="2"/>
      <c r="H214" s="2"/>
      <c r="I214" s="3"/>
    </row>
    <row r="215" spans="2:9" ht="12.75">
      <c r="B215" s="2"/>
      <c r="C215" s="2"/>
      <c r="D215" s="2"/>
      <c r="E215" s="2"/>
      <c r="H215" s="2"/>
      <c r="I215" s="3"/>
    </row>
    <row r="216" spans="2:9" ht="12.75">
      <c r="B216" s="2"/>
      <c r="C216" s="2"/>
      <c r="D216" s="2"/>
      <c r="E216" s="2"/>
      <c r="H216" s="2"/>
      <c r="I216" s="3"/>
    </row>
    <row r="217" spans="2:9" ht="12.75">
      <c r="B217" s="2"/>
      <c r="C217" s="2"/>
      <c r="D217" s="2"/>
      <c r="E217" s="2"/>
      <c r="H217" s="2"/>
      <c r="I217" s="3"/>
    </row>
    <row r="218" spans="2:9" ht="12.75">
      <c r="B218" s="2"/>
      <c r="C218" s="2"/>
      <c r="D218" s="2"/>
      <c r="E218" s="2"/>
      <c r="H218" s="2"/>
      <c r="I218" s="3"/>
    </row>
    <row r="219" spans="2:9" ht="12.75">
      <c r="B219" s="2"/>
      <c r="C219" s="2"/>
      <c r="D219" s="2"/>
      <c r="E219" s="2"/>
      <c r="H219" s="2"/>
      <c r="I219" s="3"/>
    </row>
    <row r="220" spans="2:9" ht="12.75">
      <c r="B220" s="2"/>
      <c r="C220" s="2"/>
      <c r="D220" s="2"/>
      <c r="E220" s="2"/>
      <c r="H220" s="2"/>
      <c r="I220" s="3"/>
    </row>
    <row r="221" spans="2:9" ht="12.75">
      <c r="B221" s="2"/>
      <c r="C221" s="2"/>
      <c r="D221" s="2"/>
      <c r="E221" s="2"/>
      <c r="H221" s="2"/>
      <c r="I221" s="3"/>
    </row>
    <row r="222" spans="2:9" ht="12.75">
      <c r="B222" s="2"/>
      <c r="C222" s="2"/>
      <c r="D222" s="2"/>
      <c r="E222" s="2"/>
      <c r="H222" s="2"/>
      <c r="I222" s="3"/>
    </row>
    <row r="223" spans="2:9" ht="12.75">
      <c r="B223" s="2"/>
      <c r="C223" s="2"/>
      <c r="D223" s="2"/>
      <c r="E223" s="2"/>
      <c r="H223" s="2"/>
      <c r="I223" s="3"/>
    </row>
    <row r="224" spans="2:9" ht="12.75">
      <c r="B224" s="2"/>
      <c r="C224" s="2"/>
      <c r="D224" s="2"/>
      <c r="E224" s="2"/>
      <c r="H224" s="2"/>
      <c r="I224" s="3"/>
    </row>
    <row r="225" spans="2:9" ht="12.75">
      <c r="B225" s="2"/>
      <c r="C225" s="2"/>
      <c r="D225" s="2"/>
      <c r="E225" s="2"/>
      <c r="H225" s="2"/>
      <c r="I225" s="3"/>
    </row>
    <row r="226" spans="2:9" ht="12.75">
      <c r="B226" s="2"/>
      <c r="C226" s="2"/>
      <c r="D226" s="2"/>
      <c r="E226" s="2"/>
      <c r="H226" s="2"/>
      <c r="I226" s="3"/>
    </row>
    <row r="227" spans="2:9" ht="12.75">
      <c r="B227" s="2"/>
      <c r="C227" s="2"/>
      <c r="D227" s="2"/>
      <c r="E227" s="2"/>
      <c r="H227" s="2"/>
      <c r="I227" s="3"/>
    </row>
    <row r="228" spans="2:9" ht="12.75">
      <c r="B228" s="2"/>
      <c r="C228" s="2"/>
      <c r="D228" s="2"/>
      <c r="E228" s="2"/>
      <c r="H228" s="2"/>
      <c r="I228" s="3"/>
    </row>
    <row r="229" spans="2:9" ht="12.75">
      <c r="B229" s="2"/>
      <c r="C229" s="2"/>
      <c r="D229" s="2"/>
      <c r="E229" s="2"/>
      <c r="H229" s="2"/>
      <c r="I229" s="3"/>
    </row>
    <row r="230" spans="2:9" ht="12.75">
      <c r="B230" s="2"/>
      <c r="C230" s="2"/>
      <c r="D230" s="2"/>
      <c r="E230" s="2"/>
      <c r="H230" s="2"/>
      <c r="I230" s="3"/>
    </row>
    <row r="231" spans="2:9" ht="12.75">
      <c r="B231" s="2"/>
      <c r="C231" s="2"/>
      <c r="D231" s="2"/>
      <c r="E231" s="2"/>
      <c r="H231" s="2"/>
      <c r="I231" s="3"/>
    </row>
    <row r="232" spans="2:9" ht="12.75">
      <c r="B232" s="2"/>
      <c r="C232" s="2"/>
      <c r="D232" s="2"/>
      <c r="E232" s="2"/>
      <c r="H232" s="2"/>
      <c r="I232" s="3"/>
    </row>
    <row r="233" spans="2:9" ht="12.75">
      <c r="B233" s="2"/>
      <c r="C233" s="2"/>
      <c r="D233" s="2"/>
      <c r="E233" s="2"/>
      <c r="H233" s="2"/>
      <c r="I233" s="3"/>
    </row>
    <row r="234" spans="2:9" ht="12.75">
      <c r="B234" s="2"/>
      <c r="C234" s="2"/>
      <c r="D234" s="2"/>
      <c r="E234" s="2"/>
      <c r="H234" s="2"/>
      <c r="I234" s="3"/>
    </row>
    <row r="235" spans="2:9" ht="12.75">
      <c r="B235" s="2"/>
      <c r="C235" s="2"/>
      <c r="D235" s="2"/>
      <c r="E235" s="2"/>
      <c r="H235" s="2"/>
      <c r="I235" s="3"/>
    </row>
    <row r="236" spans="2:9" ht="12.75">
      <c r="B236" s="2"/>
      <c r="C236" s="2"/>
      <c r="D236" s="2"/>
      <c r="E236" s="2"/>
      <c r="H236" s="2"/>
      <c r="I236" s="3"/>
    </row>
    <row r="237" spans="2:9" ht="12.75">
      <c r="B237" s="2"/>
      <c r="C237" s="2"/>
      <c r="D237" s="2"/>
      <c r="E237" s="2"/>
      <c r="H237" s="2"/>
      <c r="I237" s="3"/>
    </row>
    <row r="238" spans="2:9" ht="12.75">
      <c r="B238" s="2"/>
      <c r="C238" s="2"/>
      <c r="D238" s="2"/>
      <c r="E238" s="2"/>
      <c r="H238" s="2"/>
      <c r="I238" s="3"/>
    </row>
    <row r="239" spans="2:9" ht="12.75">
      <c r="B239" s="2"/>
      <c r="C239" s="2"/>
      <c r="D239" s="2"/>
      <c r="E239" s="2"/>
      <c r="H239" s="2"/>
      <c r="I239" s="3"/>
    </row>
    <row r="240" spans="2:9" ht="12.75">
      <c r="B240" s="2"/>
      <c r="C240" s="2"/>
      <c r="D240" s="2"/>
      <c r="E240" s="2"/>
      <c r="H240" s="2"/>
      <c r="I240" s="3"/>
    </row>
    <row r="241" spans="2:9" ht="12.75">
      <c r="B241" s="2"/>
      <c r="C241" s="2"/>
      <c r="D241" s="2"/>
      <c r="E241" s="2"/>
      <c r="H241" s="2"/>
      <c r="I241" s="3"/>
    </row>
    <row r="242" spans="2:9" ht="12.75">
      <c r="B242" s="2"/>
      <c r="C242" s="2"/>
      <c r="D242" s="2"/>
      <c r="E242" s="2"/>
      <c r="H242" s="2"/>
      <c r="I242" s="3"/>
    </row>
    <row r="243" spans="2:9" ht="12.75">
      <c r="B243" s="2"/>
      <c r="C243" s="2"/>
      <c r="D243" s="2"/>
      <c r="E243" s="2"/>
      <c r="H243" s="2"/>
      <c r="I243" s="3"/>
    </row>
    <row r="244" spans="2:9" ht="12.75">
      <c r="B244" s="2"/>
      <c r="C244" s="2"/>
      <c r="D244" s="2"/>
      <c r="E244" s="2"/>
      <c r="H244" s="2"/>
      <c r="I244" s="3"/>
    </row>
    <row r="245" spans="2:9" ht="12.75">
      <c r="B245" s="2"/>
      <c r="C245" s="2"/>
      <c r="D245" s="2"/>
      <c r="E245" s="2"/>
      <c r="H245" s="2"/>
      <c r="I245" s="3"/>
    </row>
    <row r="246" spans="2:9" ht="12.75">
      <c r="B246" s="2"/>
      <c r="C246" s="2"/>
      <c r="D246" s="2"/>
      <c r="E246" s="2"/>
      <c r="H246" s="2"/>
      <c r="I246" s="3"/>
    </row>
    <row r="247" spans="2:9" ht="12.75">
      <c r="B247" s="2"/>
      <c r="C247" s="2"/>
      <c r="D247" s="2"/>
      <c r="E247" s="2"/>
      <c r="H247" s="2"/>
      <c r="I247" s="3"/>
    </row>
    <row r="248" spans="2:9" ht="12.75">
      <c r="B248" s="2"/>
      <c r="C248" s="2"/>
      <c r="D248" s="2"/>
      <c r="E248" s="2"/>
      <c r="H248" s="2"/>
      <c r="I248" s="3"/>
    </row>
    <row r="249" spans="2:9" ht="12.75">
      <c r="B249" s="2"/>
      <c r="C249" s="2"/>
      <c r="D249" s="2"/>
      <c r="E249" s="2"/>
      <c r="H249" s="2"/>
      <c r="I249" s="3"/>
    </row>
    <row r="250" spans="2:9" ht="12.75">
      <c r="B250" s="2"/>
      <c r="C250" s="2"/>
      <c r="D250" s="2"/>
      <c r="E250" s="2"/>
      <c r="H250" s="2"/>
      <c r="I250" s="3"/>
    </row>
    <row r="251" spans="2:9" ht="12.75">
      <c r="B251" s="2"/>
      <c r="C251" s="2"/>
      <c r="D251" s="2"/>
      <c r="E251" s="2"/>
      <c r="H251" s="2"/>
      <c r="I251" s="3"/>
    </row>
    <row r="252" spans="2:9" ht="12.75">
      <c r="B252" s="2"/>
      <c r="C252" s="2"/>
      <c r="D252" s="2"/>
      <c r="E252" s="2"/>
      <c r="H252" s="2"/>
      <c r="I252" s="3"/>
    </row>
    <row r="253" spans="2:9" ht="12.75">
      <c r="B253" s="2"/>
      <c r="C253" s="2"/>
      <c r="D253" s="2"/>
      <c r="E253" s="2"/>
      <c r="H253" s="2"/>
      <c r="I253" s="3"/>
    </row>
    <row r="254" spans="2:9" ht="12.75">
      <c r="B254" s="2"/>
      <c r="C254" s="2"/>
      <c r="D254" s="2"/>
      <c r="E254" s="2"/>
      <c r="H254" s="2"/>
      <c r="I254" s="3"/>
    </row>
    <row r="255" spans="2:9" ht="12.75">
      <c r="B255" s="2"/>
      <c r="C255" s="2"/>
      <c r="D255" s="2"/>
      <c r="E255" s="2"/>
      <c r="H255" s="2"/>
      <c r="I255" s="3"/>
    </row>
    <row r="256" spans="2:9" ht="12.75">
      <c r="B256" s="2"/>
      <c r="C256" s="2"/>
      <c r="D256" s="2"/>
      <c r="E256" s="2"/>
      <c r="H256" s="2"/>
      <c r="I256" s="3"/>
    </row>
    <row r="257" spans="2:9" ht="12.75">
      <c r="B257" s="2"/>
      <c r="C257" s="2"/>
      <c r="D257" s="2"/>
      <c r="E257" s="2"/>
      <c r="H257" s="2"/>
      <c r="I257" s="3"/>
    </row>
    <row r="258" spans="2:9" ht="12.75">
      <c r="B258" s="2"/>
      <c r="C258" s="2"/>
      <c r="D258" s="2"/>
      <c r="E258" s="2"/>
      <c r="H258" s="2"/>
      <c r="I258" s="3"/>
    </row>
    <row r="259" spans="2:9" ht="12.75">
      <c r="B259" s="2"/>
      <c r="C259" s="2"/>
      <c r="D259" s="2"/>
      <c r="E259" s="2"/>
      <c r="H259" s="2"/>
      <c r="I259" s="3"/>
    </row>
    <row r="260" spans="2:9" ht="12.75">
      <c r="B260" s="2"/>
      <c r="C260" s="2"/>
      <c r="D260" s="2"/>
      <c r="E260" s="2"/>
      <c r="H260" s="2"/>
      <c r="I260" s="3"/>
    </row>
    <row r="261" spans="2:9" ht="12.75">
      <c r="B261" s="2"/>
      <c r="C261" s="2"/>
      <c r="D261" s="2"/>
      <c r="E261" s="2"/>
      <c r="H261" s="2"/>
      <c r="I261" s="3"/>
    </row>
    <row r="262" spans="2:9" ht="12.75">
      <c r="B262" s="2"/>
      <c r="C262" s="2"/>
      <c r="D262" s="2"/>
      <c r="E262" s="2"/>
      <c r="H262" s="2"/>
      <c r="I262" s="3"/>
    </row>
    <row r="263" spans="2:9" ht="12.75">
      <c r="B263" s="2"/>
      <c r="C263" s="2"/>
      <c r="D263" s="2"/>
      <c r="E263" s="2"/>
      <c r="H263" s="2"/>
      <c r="I263" s="3"/>
    </row>
    <row r="264" spans="2:9" ht="12.75">
      <c r="B264" s="2"/>
      <c r="C264" s="2"/>
      <c r="D264" s="2"/>
      <c r="E264" s="2"/>
      <c r="H264" s="2"/>
      <c r="I264" s="3"/>
    </row>
    <row r="265" spans="2:9" ht="12.75">
      <c r="B265" s="2"/>
      <c r="C265" s="2"/>
      <c r="D265" s="2"/>
      <c r="E265" s="2"/>
      <c r="H265" s="2"/>
      <c r="I265" s="3"/>
    </row>
    <row r="266" spans="2:9" ht="12.75">
      <c r="B266" s="2"/>
      <c r="C266" s="2"/>
      <c r="D266" s="2"/>
      <c r="E266" s="2"/>
      <c r="H266" s="2"/>
      <c r="I266" s="3"/>
    </row>
    <row r="267" spans="2:9" ht="12.75">
      <c r="B267" s="2"/>
      <c r="C267" s="2"/>
      <c r="D267" s="2"/>
      <c r="E267" s="2"/>
      <c r="H267" s="2"/>
      <c r="I267" s="3"/>
    </row>
    <row r="268" spans="2:9" ht="12.75">
      <c r="B268" s="2"/>
      <c r="C268" s="2"/>
      <c r="D268" s="2"/>
      <c r="E268" s="2"/>
      <c r="H268" s="2"/>
      <c r="I268" s="3"/>
    </row>
    <row r="269" spans="2:9" ht="12.75">
      <c r="B269" s="2"/>
      <c r="C269" s="2"/>
      <c r="D269" s="2"/>
      <c r="E269" s="2"/>
      <c r="H269" s="2"/>
      <c r="I269" s="3"/>
    </row>
    <row r="270" spans="2:9" ht="12.75">
      <c r="B270" s="2"/>
      <c r="C270" s="2"/>
      <c r="D270" s="2"/>
      <c r="E270" s="2"/>
      <c r="H270" s="2"/>
      <c r="I270" s="3"/>
    </row>
    <row r="271" spans="2:9" ht="12.75">
      <c r="B271" s="2"/>
      <c r="C271" s="2"/>
      <c r="D271" s="2"/>
      <c r="E271" s="2"/>
      <c r="H271" s="2"/>
      <c r="I271" s="3"/>
    </row>
    <row r="272" spans="2:9" ht="12.75">
      <c r="B272" s="2"/>
      <c r="C272" s="2"/>
      <c r="D272" s="2"/>
      <c r="E272" s="2"/>
      <c r="H272" s="2"/>
      <c r="I272" s="3"/>
    </row>
    <row r="273" spans="2:9" ht="12.75">
      <c r="B273" s="2"/>
      <c r="C273" s="2"/>
      <c r="D273" s="2"/>
      <c r="E273" s="2"/>
      <c r="H273" s="2"/>
      <c r="I273" s="3"/>
    </row>
    <row r="274" spans="2:9" ht="12.75">
      <c r="B274" s="2"/>
      <c r="C274" s="2"/>
      <c r="D274" s="2"/>
      <c r="E274" s="2"/>
      <c r="H274" s="2"/>
      <c r="I274" s="3"/>
    </row>
    <row r="275" spans="2:9" ht="12.75">
      <c r="B275" s="2"/>
      <c r="C275" s="2"/>
      <c r="D275" s="2"/>
      <c r="E275" s="2"/>
      <c r="H275" s="2"/>
      <c r="I275" s="3"/>
    </row>
    <row r="276" spans="2:9" ht="12.75">
      <c r="B276" s="2"/>
      <c r="C276" s="2"/>
      <c r="D276" s="2"/>
      <c r="E276" s="2"/>
      <c r="H276" s="2"/>
      <c r="I276" s="3"/>
    </row>
    <row r="277" spans="2:9" ht="12.75">
      <c r="B277" s="2"/>
      <c r="C277" s="2"/>
      <c r="D277" s="2"/>
      <c r="E277" s="2"/>
      <c r="H277" s="2"/>
      <c r="I277" s="3"/>
    </row>
    <row r="278" spans="2:9" ht="12.75">
      <c r="B278" s="2"/>
      <c r="C278" s="2"/>
      <c r="D278" s="2"/>
      <c r="E278" s="2"/>
      <c r="H278" s="2"/>
      <c r="I278" s="3"/>
    </row>
    <row r="279" spans="2:9" ht="12.75">
      <c r="B279" s="2"/>
      <c r="C279" s="2"/>
      <c r="D279" s="2"/>
      <c r="E279" s="2"/>
      <c r="H279" s="2"/>
      <c r="I279" s="3"/>
    </row>
    <row r="280" spans="2:9" ht="12.75">
      <c r="B280" s="2"/>
      <c r="C280" s="2"/>
      <c r="D280" s="2"/>
      <c r="E280" s="2"/>
      <c r="H280" s="2"/>
      <c r="I280" s="3"/>
    </row>
    <row r="281" spans="2:9" ht="12.75">
      <c r="B281" s="2"/>
      <c r="C281" s="2"/>
      <c r="D281" s="2"/>
      <c r="E281" s="2"/>
      <c r="H281" s="2"/>
      <c r="I281" s="3"/>
    </row>
    <row r="282" spans="2:9" ht="12.75">
      <c r="B282" s="2"/>
      <c r="C282" s="2"/>
      <c r="D282" s="2"/>
      <c r="E282" s="2"/>
      <c r="H282" s="2"/>
      <c r="I282" s="3"/>
    </row>
    <row r="283" spans="2:9" ht="12.75">
      <c r="B283" s="2"/>
      <c r="C283" s="2"/>
      <c r="D283" s="2"/>
      <c r="E283" s="2"/>
      <c r="H283" s="2"/>
      <c r="I283" s="3"/>
    </row>
    <row r="284" spans="2:9" ht="12.75">
      <c r="B284" s="2"/>
      <c r="C284" s="2"/>
      <c r="D284" s="2"/>
      <c r="E284" s="2"/>
      <c r="H284" s="2"/>
      <c r="I284" s="3"/>
    </row>
    <row r="285" spans="2:9" ht="12.75">
      <c r="B285" s="2"/>
      <c r="C285" s="2"/>
      <c r="D285" s="2"/>
      <c r="E285" s="2"/>
      <c r="H285" s="2"/>
      <c r="I285" s="3"/>
    </row>
    <row r="286" spans="2:9" ht="12.75">
      <c r="B286" s="2"/>
      <c r="C286" s="2"/>
      <c r="D286" s="2"/>
      <c r="E286" s="2"/>
      <c r="H286" s="2"/>
      <c r="I286" s="3"/>
    </row>
    <row r="287" spans="2:9" ht="12.75">
      <c r="B287" s="2"/>
      <c r="C287" s="2"/>
      <c r="D287" s="2"/>
      <c r="E287" s="2"/>
      <c r="H287" s="2"/>
      <c r="I287" s="3"/>
    </row>
    <row r="288" spans="2:9" ht="12.75">
      <c r="B288" s="2"/>
      <c r="C288" s="2"/>
      <c r="D288" s="2"/>
      <c r="E288" s="2"/>
      <c r="H288" s="2"/>
      <c r="I288" s="3"/>
    </row>
    <row r="289" spans="2:9" ht="12.75">
      <c r="B289" s="2"/>
      <c r="C289" s="2"/>
      <c r="D289" s="2"/>
      <c r="E289" s="2"/>
      <c r="H289" s="2"/>
      <c r="I289" s="3"/>
    </row>
    <row r="290" spans="2:9" ht="12.75">
      <c r="B290" s="2"/>
      <c r="C290" s="2"/>
      <c r="D290" s="2"/>
      <c r="E290" s="2"/>
      <c r="H290" s="2"/>
      <c r="I290" s="3"/>
    </row>
    <row r="291" spans="2:9" ht="12.75">
      <c r="B291" s="2"/>
      <c r="C291" s="2"/>
      <c r="D291" s="2"/>
      <c r="E291" s="2"/>
      <c r="H291" s="2"/>
      <c r="I291" s="3"/>
    </row>
    <row r="292" spans="2:9" ht="12.75">
      <c r="B292" s="2"/>
      <c r="C292" s="2"/>
      <c r="D292" s="2"/>
      <c r="E292" s="2"/>
      <c r="H292" s="2"/>
      <c r="I292" s="3"/>
    </row>
    <row r="293" spans="2:9" ht="12.75">
      <c r="B293" s="2"/>
      <c r="C293" s="2"/>
      <c r="D293" s="2"/>
      <c r="E293" s="2"/>
      <c r="H293" s="2"/>
      <c r="I293" s="3"/>
    </row>
    <row r="294" spans="2:9" ht="12.75">
      <c r="B294" s="2"/>
      <c r="C294" s="2"/>
      <c r="D294" s="2"/>
      <c r="E294" s="2"/>
      <c r="H294" s="2"/>
      <c r="I294" s="3"/>
    </row>
    <row r="295" spans="2:9" ht="12.75">
      <c r="B295" s="2"/>
      <c r="C295" s="2"/>
      <c r="D295" s="2"/>
      <c r="E295" s="2"/>
      <c r="H295" s="2"/>
      <c r="I295" s="3"/>
    </row>
    <row r="296" spans="2:9" ht="12.75">
      <c r="B296" s="2"/>
      <c r="C296" s="2"/>
      <c r="D296" s="2"/>
      <c r="E296" s="2"/>
      <c r="H296" s="2"/>
      <c r="I296" s="3"/>
    </row>
    <row r="297" spans="2:9" ht="12.75">
      <c r="B297" s="2"/>
      <c r="C297" s="2"/>
      <c r="D297" s="2"/>
      <c r="E297" s="2"/>
      <c r="H297" s="2"/>
      <c r="I297" s="3"/>
    </row>
    <row r="298" spans="2:9" ht="12.75">
      <c r="B298" s="2"/>
      <c r="C298" s="2"/>
      <c r="D298" s="2"/>
      <c r="E298" s="2"/>
      <c r="H298" s="2"/>
      <c r="I298" s="3"/>
    </row>
    <row r="299" spans="2:9" ht="12.75">
      <c r="B299" s="2"/>
      <c r="C299" s="2"/>
      <c r="D299" s="2"/>
      <c r="E299" s="2"/>
      <c r="H299" s="2"/>
      <c r="I299" s="3"/>
    </row>
    <row r="300" spans="2:9" ht="12.75">
      <c r="B300" s="2"/>
      <c r="C300" s="2"/>
      <c r="D300" s="2"/>
      <c r="E300" s="2"/>
      <c r="H300" s="2"/>
      <c r="I300" s="3"/>
    </row>
    <row r="301" spans="2:9" ht="12.75">
      <c r="B301" s="2"/>
      <c r="C301" s="2"/>
      <c r="D301" s="2"/>
      <c r="E301" s="2"/>
      <c r="H301" s="2"/>
      <c r="I301" s="3"/>
    </row>
    <row r="302" spans="2:9" ht="12.75">
      <c r="B302" s="2"/>
      <c r="C302" s="2"/>
      <c r="D302" s="2"/>
      <c r="E302" s="2"/>
      <c r="H302" s="2"/>
      <c r="I302" s="3"/>
    </row>
    <row r="303" spans="2:9" ht="12.75">
      <c r="B303" s="2"/>
      <c r="C303" s="2"/>
      <c r="D303" s="2"/>
      <c r="E303" s="2"/>
      <c r="H303" s="2"/>
      <c r="I303" s="3"/>
    </row>
    <row r="304" spans="2:9" ht="12.75">
      <c r="B304" s="2"/>
      <c r="C304" s="2"/>
      <c r="D304" s="2"/>
      <c r="E304" s="2"/>
      <c r="H304" s="2"/>
      <c r="I304" s="3"/>
    </row>
    <row r="305" spans="2:9" ht="12.75">
      <c r="B305" s="2"/>
      <c r="C305" s="2"/>
      <c r="D305" s="2"/>
      <c r="E305" s="2"/>
      <c r="H305" s="2"/>
      <c r="I305" s="3"/>
    </row>
    <row r="306" spans="2:9" ht="12.75">
      <c r="B306" s="2"/>
      <c r="C306" s="2"/>
      <c r="D306" s="2"/>
      <c r="E306" s="2"/>
      <c r="H306" s="2"/>
      <c r="I306" s="3"/>
    </row>
    <row r="307" spans="2:9" ht="12.75">
      <c r="B307" s="2"/>
      <c r="C307" s="2"/>
      <c r="D307" s="2"/>
      <c r="E307" s="2"/>
      <c r="H307" s="2"/>
      <c r="I307" s="3"/>
    </row>
    <row r="308" spans="2:9" ht="12.75">
      <c r="B308" s="2"/>
      <c r="C308" s="2"/>
      <c r="D308" s="2"/>
      <c r="E308" s="2"/>
      <c r="H308" s="2"/>
      <c r="I308" s="3"/>
    </row>
    <row r="309" spans="2:9" ht="12.75">
      <c r="B309" s="2"/>
      <c r="C309" s="2"/>
      <c r="D309" s="2"/>
      <c r="E309" s="2"/>
      <c r="H309" s="2"/>
      <c r="I309" s="3"/>
    </row>
    <row r="310" spans="2:9" ht="12.75">
      <c r="B310" s="2"/>
      <c r="C310" s="2"/>
      <c r="D310" s="2"/>
      <c r="E310" s="2"/>
      <c r="H310" s="2"/>
      <c r="I310" s="3"/>
    </row>
    <row r="311" spans="2:9" ht="12.75">
      <c r="B311" s="2"/>
      <c r="C311" s="2"/>
      <c r="D311" s="2"/>
      <c r="E311" s="2"/>
      <c r="H311" s="2"/>
      <c r="I311" s="3"/>
    </row>
    <row r="312" spans="2:9" ht="12.75">
      <c r="B312" s="2"/>
      <c r="C312" s="2"/>
      <c r="D312" s="2"/>
      <c r="E312" s="2"/>
      <c r="H312" s="2"/>
      <c r="I312" s="3"/>
    </row>
    <row r="313" spans="2:9" ht="12.75">
      <c r="B313" s="2"/>
      <c r="C313" s="2"/>
      <c r="D313" s="2"/>
      <c r="E313" s="2"/>
      <c r="H313" s="2"/>
      <c r="I313" s="3"/>
    </row>
    <row r="314" spans="2:9" ht="12.75">
      <c r="B314" s="2"/>
      <c r="C314" s="2"/>
      <c r="D314" s="2"/>
      <c r="E314" s="2"/>
      <c r="H314" s="2"/>
      <c r="I314" s="3"/>
    </row>
    <row r="315" spans="2:9" ht="12.75">
      <c r="B315" s="2"/>
      <c r="C315" s="2"/>
      <c r="D315" s="2"/>
      <c r="E315" s="2"/>
      <c r="H315" s="2"/>
      <c r="I315" s="3"/>
    </row>
    <row r="316" spans="2:9" ht="12.75">
      <c r="B316" s="2"/>
      <c r="C316" s="2"/>
      <c r="D316" s="2"/>
      <c r="E316" s="2"/>
      <c r="H316" s="2"/>
      <c r="I316" s="3"/>
    </row>
    <row r="317" spans="2:9" ht="12.75">
      <c r="B317" s="2"/>
      <c r="C317" s="2"/>
      <c r="D317" s="2"/>
      <c r="E317" s="2"/>
      <c r="H317" s="2"/>
      <c r="I317" s="3"/>
    </row>
    <row r="318" spans="2:9" ht="12.75">
      <c r="B318" s="2"/>
      <c r="C318" s="2"/>
      <c r="D318" s="2"/>
      <c r="E318" s="2"/>
      <c r="H318" s="2"/>
      <c r="I318" s="3"/>
    </row>
    <row r="319" spans="2:9" ht="12.75">
      <c r="B319" s="2"/>
      <c r="C319" s="2"/>
      <c r="D319" s="2"/>
      <c r="E319" s="2"/>
      <c r="H319" s="2"/>
      <c r="I319" s="3"/>
    </row>
    <row r="320" spans="2:9" ht="12.75">
      <c r="B320" s="2"/>
      <c r="C320" s="2"/>
      <c r="D320" s="2"/>
      <c r="E320" s="2"/>
      <c r="H320" s="2"/>
      <c r="I320" s="3"/>
    </row>
    <row r="321" spans="2:9" ht="12.75">
      <c r="B321" s="2"/>
      <c r="C321" s="2"/>
      <c r="D321" s="2"/>
      <c r="E321" s="2"/>
      <c r="H321" s="2"/>
      <c r="I321" s="3"/>
    </row>
    <row r="322" spans="2:9" ht="12.75">
      <c r="B322" s="2"/>
      <c r="C322" s="2"/>
      <c r="D322" s="2"/>
      <c r="E322" s="2"/>
      <c r="H322" s="2"/>
      <c r="I322" s="3"/>
    </row>
    <row r="323" spans="2:9" ht="12.75">
      <c r="B323" s="2"/>
      <c r="C323" s="2"/>
      <c r="D323" s="2"/>
      <c r="E323" s="2"/>
      <c r="H323" s="2"/>
      <c r="I323" s="3"/>
    </row>
    <row r="324" spans="2:9" ht="12.75">
      <c r="B324" s="2"/>
      <c r="C324" s="2"/>
      <c r="D324" s="2"/>
      <c r="E324" s="2"/>
      <c r="H324" s="2"/>
      <c r="I324" s="3"/>
    </row>
    <row r="325" spans="2:9" ht="12.75">
      <c r="B325" s="2"/>
      <c r="C325" s="2"/>
      <c r="D325" s="2"/>
      <c r="E325" s="2"/>
      <c r="H325" s="2"/>
      <c r="I325" s="3"/>
    </row>
    <row r="326" spans="2:9" ht="12.75">
      <c r="B326" s="2"/>
      <c r="C326" s="2"/>
      <c r="D326" s="2"/>
      <c r="E326" s="2"/>
      <c r="H326" s="2"/>
      <c r="I326" s="3"/>
    </row>
    <row r="327" spans="2:9" ht="12.75">
      <c r="B327" s="2"/>
      <c r="C327" s="2"/>
      <c r="D327" s="2"/>
      <c r="E327" s="2"/>
      <c r="H327" s="2"/>
      <c r="I327" s="3"/>
    </row>
    <row r="328" spans="2:9" ht="12.75">
      <c r="B328" s="2"/>
      <c r="C328" s="2"/>
      <c r="D328" s="2"/>
      <c r="E328" s="2"/>
      <c r="H328" s="2"/>
      <c r="I328" s="3"/>
    </row>
    <row r="329" spans="2:9" ht="12.75">
      <c r="B329" s="2"/>
      <c r="C329" s="2"/>
      <c r="D329" s="2"/>
      <c r="E329" s="2"/>
      <c r="H329" s="2"/>
      <c r="I329" s="3"/>
    </row>
    <row r="330" spans="2:9" ht="12.75">
      <c r="B330" s="2"/>
      <c r="C330" s="2"/>
      <c r="D330" s="2"/>
      <c r="E330" s="2"/>
      <c r="H330" s="2"/>
      <c r="I330" s="3"/>
    </row>
    <row r="331" spans="2:9" ht="12.75">
      <c r="B331" s="2"/>
      <c r="C331" s="2"/>
      <c r="D331" s="2"/>
      <c r="E331" s="2"/>
      <c r="H331" s="2"/>
      <c r="I331" s="3"/>
    </row>
    <row r="332" spans="2:9" ht="12.75">
      <c r="B332" s="2"/>
      <c r="C332" s="2"/>
      <c r="D332" s="2"/>
      <c r="E332" s="2"/>
      <c r="H332" s="2"/>
      <c r="I332" s="3"/>
    </row>
    <row r="333" spans="2:9" ht="12.75">
      <c r="B333" s="2"/>
      <c r="C333" s="2"/>
      <c r="D333" s="2"/>
      <c r="E333" s="2"/>
      <c r="H333" s="2"/>
      <c r="I333" s="3"/>
    </row>
    <row r="334" spans="2:9" ht="12.75">
      <c r="B334" s="2"/>
      <c r="C334" s="2"/>
      <c r="D334" s="2"/>
      <c r="E334" s="2"/>
      <c r="H334" s="2"/>
      <c r="I334" s="3"/>
    </row>
    <row r="335" spans="2:9" ht="12.75">
      <c r="B335" s="2"/>
      <c r="C335" s="2"/>
      <c r="D335" s="2"/>
      <c r="E335" s="2"/>
      <c r="H335" s="2"/>
      <c r="I335" s="3"/>
    </row>
    <row r="336" spans="2:9" ht="12.75">
      <c r="B336" s="2"/>
      <c r="C336" s="2"/>
      <c r="D336" s="2"/>
      <c r="E336" s="2"/>
      <c r="H336" s="2"/>
      <c r="I336" s="3"/>
    </row>
    <row r="337" spans="2:9" ht="12.75">
      <c r="B337" s="2"/>
      <c r="C337" s="2"/>
      <c r="D337" s="2"/>
      <c r="E337" s="2"/>
      <c r="H337" s="2"/>
      <c r="I337" s="3"/>
    </row>
    <row r="338" spans="2:9" ht="12.75">
      <c r="B338" s="2"/>
      <c r="C338" s="2"/>
      <c r="D338" s="2"/>
      <c r="E338" s="2"/>
      <c r="H338" s="2"/>
      <c r="I338" s="3"/>
    </row>
    <row r="339" spans="2:9" ht="12.75">
      <c r="B339" s="2"/>
      <c r="C339" s="2"/>
      <c r="D339" s="2"/>
      <c r="E339" s="2"/>
      <c r="H339" s="2"/>
      <c r="I339" s="3"/>
    </row>
    <row r="340" spans="2:9" ht="12.75">
      <c r="B340" s="2"/>
      <c r="C340" s="2"/>
      <c r="D340" s="2"/>
      <c r="E340" s="2"/>
      <c r="H340" s="2"/>
      <c r="I340" s="3"/>
    </row>
    <row r="341" spans="2:9" ht="12.75">
      <c r="B341" s="2"/>
      <c r="C341" s="2"/>
      <c r="D341" s="2"/>
      <c r="E341" s="2"/>
      <c r="H341" s="2"/>
      <c r="I341" s="3"/>
    </row>
    <row r="342" spans="2:9" ht="12.75">
      <c r="B342" s="2"/>
      <c r="C342" s="2"/>
      <c r="D342" s="2"/>
      <c r="E342" s="2"/>
      <c r="H342" s="2"/>
      <c r="I342" s="3"/>
    </row>
    <row r="343" spans="2:9" ht="12.75">
      <c r="B343" s="2"/>
      <c r="C343" s="2"/>
      <c r="D343" s="2"/>
      <c r="E343" s="2"/>
      <c r="H343" s="2"/>
      <c r="I343" s="3"/>
    </row>
    <row r="344" spans="2:9" ht="12.75">
      <c r="B344" s="2"/>
      <c r="C344" s="2"/>
      <c r="D344" s="2"/>
      <c r="E344" s="2"/>
      <c r="H344" s="2"/>
      <c r="I344" s="3"/>
    </row>
    <row r="345" spans="2:9" ht="12.75">
      <c r="B345" s="2"/>
      <c r="C345" s="2"/>
      <c r="D345" s="2"/>
      <c r="E345" s="2"/>
      <c r="H345" s="2"/>
      <c r="I345" s="3"/>
    </row>
    <row r="346" spans="2:9" ht="12.75">
      <c r="B346" s="2"/>
      <c r="C346" s="2"/>
      <c r="D346" s="2"/>
      <c r="E346" s="2"/>
      <c r="H346" s="2"/>
      <c r="I346" s="3"/>
    </row>
    <row r="347" spans="2:9" ht="12.75">
      <c r="B347" s="2"/>
      <c r="C347" s="2"/>
      <c r="D347" s="2"/>
      <c r="E347" s="2"/>
      <c r="H347" s="2"/>
      <c r="I347" s="3"/>
    </row>
    <row r="348" spans="2:9" ht="12.75">
      <c r="B348" s="2"/>
      <c r="C348" s="2"/>
      <c r="D348" s="2"/>
      <c r="E348" s="2"/>
      <c r="H348" s="2"/>
      <c r="I348" s="3"/>
    </row>
    <row r="349" spans="2:9" ht="12.75">
      <c r="B349" s="2"/>
      <c r="C349" s="2"/>
      <c r="D349" s="2"/>
      <c r="E349" s="2"/>
      <c r="H349" s="2"/>
      <c r="I349" s="3"/>
    </row>
    <row r="350" spans="2:9" ht="12.75">
      <c r="B350" s="2"/>
      <c r="C350" s="2"/>
      <c r="D350" s="2"/>
      <c r="E350" s="2"/>
      <c r="H350" s="2"/>
      <c r="I350" s="3"/>
    </row>
    <row r="351" spans="2:9" ht="12.75">
      <c r="B351" s="2"/>
      <c r="C351" s="2"/>
      <c r="D351" s="2"/>
      <c r="E351" s="2"/>
      <c r="H351" s="2"/>
      <c r="I351" s="3"/>
    </row>
    <row r="352" spans="2:9" ht="12.75">
      <c r="B352" s="2"/>
      <c r="C352" s="2"/>
      <c r="D352" s="2"/>
      <c r="E352" s="2"/>
      <c r="H352" s="2"/>
      <c r="I352" s="3"/>
    </row>
    <row r="353" spans="2:9" ht="12.75">
      <c r="B353" s="2"/>
      <c r="C353" s="2"/>
      <c r="D353" s="2"/>
      <c r="E353" s="2"/>
      <c r="H353" s="2"/>
      <c r="I353" s="3"/>
    </row>
    <row r="354" spans="2:9" ht="12.75">
      <c r="B354" s="2"/>
      <c r="C354" s="2"/>
      <c r="D354" s="2"/>
      <c r="E354" s="2"/>
      <c r="H354" s="2"/>
      <c r="I354" s="3"/>
    </row>
    <row r="355" spans="2:9" ht="12.75">
      <c r="B355" s="2"/>
      <c r="C355" s="2"/>
      <c r="D355" s="2"/>
      <c r="E355" s="2"/>
      <c r="H355" s="2"/>
      <c r="I355" s="3"/>
    </row>
    <row r="356" spans="2:9" ht="12.75">
      <c r="B356" s="2"/>
      <c r="C356" s="2"/>
      <c r="D356" s="2"/>
      <c r="E356" s="2"/>
      <c r="H356" s="2"/>
      <c r="I356" s="3"/>
    </row>
    <row r="357" spans="2:9" ht="12.75">
      <c r="B357" s="2"/>
      <c r="C357" s="2"/>
      <c r="D357" s="2"/>
      <c r="E357" s="2"/>
      <c r="H357" s="2"/>
      <c r="I357" s="3"/>
    </row>
    <row r="358" spans="2:9" ht="12.75">
      <c r="B358" s="2"/>
      <c r="C358" s="2"/>
      <c r="D358" s="2"/>
      <c r="E358" s="2"/>
      <c r="H358" s="2"/>
      <c r="I358" s="3"/>
    </row>
    <row r="359" spans="2:9" ht="12.75">
      <c r="B359" s="2"/>
      <c r="C359" s="2"/>
      <c r="D359" s="2"/>
      <c r="E359" s="2"/>
      <c r="H359" s="2"/>
      <c r="I359" s="3"/>
    </row>
    <row r="360" spans="2:9" ht="12.75">
      <c r="B360" s="2"/>
      <c r="C360" s="2"/>
      <c r="D360" s="2"/>
      <c r="E360" s="2"/>
      <c r="H360" s="2"/>
      <c r="I360" s="3"/>
    </row>
    <row r="361" spans="2:9" ht="12.75">
      <c r="B361" s="2"/>
      <c r="C361" s="2"/>
      <c r="D361" s="2"/>
      <c r="E361" s="2"/>
      <c r="H361" s="2"/>
      <c r="I361" s="3"/>
    </row>
    <row r="362" spans="2:9" ht="12.75">
      <c r="B362" s="2"/>
      <c r="C362" s="2"/>
      <c r="D362" s="2"/>
      <c r="E362" s="2"/>
      <c r="H362" s="2"/>
      <c r="I362" s="3"/>
    </row>
    <row r="363" spans="2:9" ht="12.75">
      <c r="B363" s="2"/>
      <c r="C363" s="2"/>
      <c r="D363" s="2"/>
      <c r="E363" s="2"/>
      <c r="H363" s="2"/>
      <c r="I363" s="3"/>
    </row>
    <row r="364" spans="2:9" ht="12.75">
      <c r="B364" s="2"/>
      <c r="C364" s="2"/>
      <c r="D364" s="2"/>
      <c r="E364" s="2"/>
      <c r="H364" s="2"/>
      <c r="I364" s="3"/>
    </row>
    <row r="365" spans="2:9" ht="12.75">
      <c r="B365" s="2"/>
      <c r="C365" s="2"/>
      <c r="D365" s="2"/>
      <c r="E365" s="2"/>
      <c r="H365" s="2"/>
      <c r="I365" s="3"/>
    </row>
    <row r="366" spans="2:9" ht="12.75">
      <c r="B366" s="2"/>
      <c r="C366" s="2"/>
      <c r="D366" s="2"/>
      <c r="E366" s="2"/>
      <c r="H366" s="2"/>
      <c r="I366" s="3"/>
    </row>
    <row r="367" spans="2:9" ht="12.75">
      <c r="B367" s="2"/>
      <c r="C367" s="2"/>
      <c r="D367" s="2"/>
      <c r="E367" s="2"/>
      <c r="H367" s="2"/>
      <c r="I367" s="3"/>
    </row>
    <row r="368" spans="2:9" ht="12.75">
      <c r="B368" s="2"/>
      <c r="C368" s="2"/>
      <c r="D368" s="2"/>
      <c r="E368" s="2"/>
      <c r="H368" s="2"/>
      <c r="I368" s="3"/>
    </row>
    <row r="369" spans="2:9" ht="12.75">
      <c r="B369" s="2"/>
      <c r="C369" s="2"/>
      <c r="D369" s="2"/>
      <c r="E369" s="2"/>
      <c r="H369" s="2"/>
      <c r="I369" s="3"/>
    </row>
    <row r="370" spans="2:9" ht="12.75">
      <c r="B370" s="2"/>
      <c r="C370" s="2"/>
      <c r="D370" s="2"/>
      <c r="E370" s="2"/>
      <c r="H370" s="2"/>
      <c r="I370" s="3"/>
    </row>
    <row r="371" spans="2:9" ht="12.75">
      <c r="B371" s="2"/>
      <c r="C371" s="2"/>
      <c r="D371" s="2"/>
      <c r="E371" s="2"/>
      <c r="H371" s="2"/>
      <c r="I371" s="3"/>
    </row>
    <row r="372" spans="2:9" ht="12.75">
      <c r="B372" s="2"/>
      <c r="C372" s="2"/>
      <c r="D372" s="2"/>
      <c r="E372" s="2"/>
      <c r="H372" s="2"/>
      <c r="I372" s="3"/>
    </row>
    <row r="373" spans="2:9" ht="12.75">
      <c r="B373" s="2"/>
      <c r="C373" s="2"/>
      <c r="D373" s="2"/>
      <c r="E373" s="2"/>
      <c r="H373" s="2"/>
      <c r="I373" s="3"/>
    </row>
    <row r="374" spans="2:9" ht="12.75">
      <c r="B374" s="2"/>
      <c r="C374" s="2"/>
      <c r="D374" s="2"/>
      <c r="E374" s="2"/>
      <c r="H374" s="2"/>
      <c r="I374" s="3"/>
    </row>
    <row r="375" spans="2:9" ht="12.75">
      <c r="B375" s="2"/>
      <c r="C375" s="2"/>
      <c r="D375" s="2"/>
      <c r="E375" s="2"/>
      <c r="H375" s="2"/>
      <c r="I375" s="3"/>
    </row>
    <row r="376" spans="2:9" ht="12.75">
      <c r="B376" s="2"/>
      <c r="C376" s="2"/>
      <c r="D376" s="2"/>
      <c r="E376" s="2"/>
      <c r="H376" s="2"/>
      <c r="I376" s="3"/>
    </row>
    <row r="377" spans="2:9" ht="12.75">
      <c r="B377" s="2"/>
      <c r="C377" s="2"/>
      <c r="D377" s="2"/>
      <c r="E377" s="2"/>
      <c r="H377" s="2"/>
      <c r="I377" s="3"/>
    </row>
    <row r="378" spans="2:9" ht="12.75">
      <c r="B378" s="2"/>
      <c r="C378" s="2"/>
      <c r="D378" s="2"/>
      <c r="E378" s="2"/>
      <c r="H378" s="2"/>
      <c r="I378" s="3"/>
    </row>
    <row r="379" spans="2:9" ht="12.75">
      <c r="B379" s="2"/>
      <c r="C379" s="2"/>
      <c r="D379" s="2"/>
      <c r="E379" s="2"/>
      <c r="H379" s="2"/>
      <c r="I379" s="3"/>
    </row>
    <row r="380" spans="2:9" ht="12.75">
      <c r="B380" s="2"/>
      <c r="C380" s="2"/>
      <c r="D380" s="2"/>
      <c r="E380" s="2"/>
      <c r="H380" s="2"/>
      <c r="I380" s="3"/>
    </row>
    <row r="381" spans="2:9" ht="12.75">
      <c r="B381" s="2"/>
      <c r="C381" s="2"/>
      <c r="D381" s="2"/>
      <c r="E381" s="2"/>
      <c r="H381" s="2"/>
      <c r="I381" s="3"/>
    </row>
    <row r="382" spans="2:9" ht="12.75">
      <c r="B382" s="2"/>
      <c r="C382" s="2"/>
      <c r="D382" s="2"/>
      <c r="E382" s="2"/>
      <c r="H382" s="2"/>
      <c r="I382" s="3"/>
    </row>
    <row r="383" spans="2:9" ht="12.75">
      <c r="B383" s="2"/>
      <c r="C383" s="2"/>
      <c r="D383" s="2"/>
      <c r="E383" s="2"/>
      <c r="H383" s="2"/>
      <c r="I383" s="3"/>
    </row>
    <row r="384" spans="2:9" ht="12.75">
      <c r="B384" s="2"/>
      <c r="C384" s="2"/>
      <c r="D384" s="2"/>
      <c r="E384" s="2"/>
      <c r="H384" s="2"/>
      <c r="I384" s="3"/>
    </row>
    <row r="385" spans="2:9" ht="12.75">
      <c r="B385" s="2"/>
      <c r="C385" s="2"/>
      <c r="D385" s="2"/>
      <c r="E385" s="2"/>
      <c r="H385" s="2"/>
      <c r="I385" s="3"/>
    </row>
    <row r="386" spans="2:9" ht="12.75">
      <c r="B386" s="2"/>
      <c r="C386" s="2"/>
      <c r="D386" s="2"/>
      <c r="E386" s="2"/>
      <c r="H386" s="2"/>
      <c r="I386" s="3"/>
    </row>
    <row r="387" spans="2:9" ht="12.75">
      <c r="B387" s="2"/>
      <c r="C387" s="2"/>
      <c r="D387" s="2"/>
      <c r="E387" s="2"/>
      <c r="H387" s="2"/>
      <c r="I387" s="3"/>
    </row>
    <row r="388" spans="2:9" ht="12.75">
      <c r="B388" s="2"/>
      <c r="C388" s="2"/>
      <c r="D388" s="2"/>
      <c r="E388" s="2"/>
      <c r="H388" s="2"/>
      <c r="I388" s="3"/>
    </row>
    <row r="389" spans="2:9" ht="12.75">
      <c r="B389" s="2"/>
      <c r="C389" s="2"/>
      <c r="D389" s="2"/>
      <c r="E389" s="2"/>
      <c r="H389" s="2"/>
      <c r="I389" s="3"/>
    </row>
    <row r="390" spans="2:9" ht="12.75">
      <c r="B390" s="2"/>
      <c r="C390" s="2"/>
      <c r="D390" s="2"/>
      <c r="E390" s="2"/>
      <c r="H390" s="2"/>
      <c r="I390" s="3"/>
    </row>
    <row r="391" spans="2:9" ht="12.75">
      <c r="B391" s="2"/>
      <c r="C391" s="2"/>
      <c r="D391" s="2"/>
      <c r="E391" s="2"/>
      <c r="H391" s="2"/>
      <c r="I391" s="3"/>
    </row>
    <row r="392" spans="2:9" ht="12.75">
      <c r="B392" s="2"/>
      <c r="C392" s="2"/>
      <c r="D392" s="2"/>
      <c r="E392" s="2"/>
      <c r="H392" s="2"/>
      <c r="I392" s="3"/>
    </row>
    <row r="393" spans="2:9" ht="12.75">
      <c r="B393" s="2"/>
      <c r="C393" s="2"/>
      <c r="D393" s="2"/>
      <c r="E393" s="2"/>
      <c r="H393" s="2"/>
      <c r="I393" s="3"/>
    </row>
    <row r="394" spans="2:9" ht="12.75">
      <c r="B394" s="2"/>
      <c r="C394" s="2"/>
      <c r="D394" s="2"/>
      <c r="E394" s="2"/>
      <c r="H394" s="2"/>
      <c r="I394" s="3"/>
    </row>
    <row r="395" spans="2:9" ht="12.75">
      <c r="B395" s="2"/>
      <c r="C395" s="2"/>
      <c r="D395" s="2"/>
      <c r="E395" s="2"/>
      <c r="H395" s="2"/>
      <c r="I395" s="3"/>
    </row>
    <row r="396" spans="2:9" ht="12.75">
      <c r="B396" s="2"/>
      <c r="C396" s="2"/>
      <c r="D396" s="2"/>
      <c r="E396" s="2"/>
      <c r="H396" s="2"/>
      <c r="I396" s="3"/>
    </row>
    <row r="397" spans="2:9" ht="12.75">
      <c r="B397" s="2"/>
      <c r="C397" s="2"/>
      <c r="D397" s="2"/>
      <c r="E397" s="2"/>
      <c r="H397" s="2"/>
      <c r="I397" s="3"/>
    </row>
    <row r="398" spans="2:9" ht="12.75">
      <c r="B398" s="2"/>
      <c r="C398" s="2"/>
      <c r="D398" s="2"/>
      <c r="E398" s="2"/>
      <c r="H398" s="2"/>
      <c r="I398" s="3"/>
    </row>
    <row r="399" spans="2:9" ht="12.75">
      <c r="B399" s="2"/>
      <c r="C399" s="2"/>
      <c r="D399" s="2"/>
      <c r="E399" s="2"/>
      <c r="H399" s="2"/>
      <c r="I399" s="3"/>
    </row>
    <row r="400" spans="2:9" ht="12.75">
      <c r="B400" s="2"/>
      <c r="C400" s="2"/>
      <c r="D400" s="2"/>
      <c r="E400" s="2"/>
      <c r="H400" s="2"/>
      <c r="I400" s="3"/>
    </row>
    <row r="401" spans="2:9" ht="12.75">
      <c r="B401" s="2"/>
      <c r="C401" s="2"/>
      <c r="D401" s="2"/>
      <c r="E401" s="2"/>
      <c r="H401" s="2"/>
      <c r="I401" s="3"/>
    </row>
    <row r="402" spans="2:9" ht="12.75">
      <c r="B402" s="2"/>
      <c r="C402" s="2"/>
      <c r="D402" s="2"/>
      <c r="E402" s="2"/>
      <c r="H402" s="2"/>
      <c r="I402" s="3"/>
    </row>
    <row r="403" spans="2:9" ht="12.75">
      <c r="B403" s="2"/>
      <c r="C403" s="2"/>
      <c r="D403" s="2"/>
      <c r="E403" s="2"/>
      <c r="H403" s="2"/>
      <c r="I403" s="3"/>
    </row>
    <row r="404" spans="2:9" ht="12.75">
      <c r="B404" s="2"/>
      <c r="C404" s="2"/>
      <c r="D404" s="2"/>
      <c r="E404" s="2"/>
      <c r="H404" s="2"/>
      <c r="I404" s="3"/>
    </row>
    <row r="405" spans="2:9" ht="12.75">
      <c r="B405" s="2"/>
      <c r="C405" s="2"/>
      <c r="D405" s="2"/>
      <c r="E405" s="2"/>
      <c r="H405" s="2"/>
      <c r="I405" s="3"/>
    </row>
    <row r="406" spans="2:9" ht="12.75">
      <c r="B406" s="2"/>
      <c r="C406" s="2"/>
      <c r="D406" s="2"/>
      <c r="E406" s="2"/>
      <c r="H406" s="2"/>
      <c r="I406" s="3"/>
    </row>
    <row r="407" spans="2:9" ht="12.75">
      <c r="B407" s="2"/>
      <c r="C407" s="2"/>
      <c r="D407" s="2"/>
      <c r="E407" s="2"/>
      <c r="H407" s="2"/>
      <c r="I407" s="3"/>
    </row>
    <row r="408" spans="2:9" ht="12.75">
      <c r="B408" s="2"/>
      <c r="C408" s="2"/>
      <c r="D408" s="2"/>
      <c r="E408" s="2"/>
      <c r="H408" s="2"/>
      <c r="I408" s="3"/>
    </row>
    <row r="409" spans="2:9" ht="12.75">
      <c r="B409" s="2"/>
      <c r="C409" s="2"/>
      <c r="D409" s="2"/>
      <c r="E409" s="2"/>
      <c r="H409" s="2"/>
      <c r="I409" s="3"/>
    </row>
    <row r="410" spans="2:9" ht="12.75">
      <c r="B410" s="2"/>
      <c r="C410" s="2"/>
      <c r="D410" s="2"/>
      <c r="E410" s="2"/>
      <c r="H410" s="2"/>
      <c r="I410" s="3"/>
    </row>
    <row r="411" spans="2:9" ht="12.75">
      <c r="B411" s="2"/>
      <c r="C411" s="2"/>
      <c r="D411" s="2"/>
      <c r="E411" s="2"/>
      <c r="H411" s="2"/>
      <c r="I411" s="3"/>
    </row>
    <row r="412" spans="2:9" ht="12.75">
      <c r="B412" s="2"/>
      <c r="C412" s="2"/>
      <c r="D412" s="2"/>
      <c r="E412" s="2"/>
      <c r="H412" s="2"/>
      <c r="I412" s="3"/>
    </row>
    <row r="413" spans="2:9" ht="12.75">
      <c r="B413" s="2"/>
      <c r="C413" s="2"/>
      <c r="D413" s="2"/>
      <c r="E413" s="2"/>
      <c r="H413" s="2"/>
      <c r="I413" s="3"/>
    </row>
    <row r="414" spans="2:9" ht="12.75">
      <c r="B414" s="2"/>
      <c r="C414" s="2"/>
      <c r="D414" s="2"/>
      <c r="E414" s="2"/>
      <c r="H414" s="2"/>
      <c r="I414" s="3"/>
    </row>
    <row r="415" spans="2:9" ht="12.75">
      <c r="B415" s="2"/>
      <c r="C415" s="2"/>
      <c r="D415" s="2"/>
      <c r="E415" s="2"/>
      <c r="H415" s="2"/>
      <c r="I415" s="3"/>
    </row>
    <row r="416" spans="2:9" ht="12.75">
      <c r="B416" s="2"/>
      <c r="C416" s="2"/>
      <c r="D416" s="2"/>
      <c r="E416" s="2"/>
      <c r="H416" s="2"/>
      <c r="I416" s="3"/>
    </row>
    <row r="417" spans="2:9" ht="12.75">
      <c r="B417" s="2"/>
      <c r="C417" s="2"/>
      <c r="D417" s="2"/>
      <c r="E417" s="2"/>
      <c r="H417" s="2"/>
      <c r="I417" s="3"/>
    </row>
    <row r="418" spans="2:9" ht="12.75">
      <c r="B418" s="2"/>
      <c r="C418" s="2"/>
      <c r="D418" s="2"/>
      <c r="E418" s="2"/>
      <c r="H418" s="2"/>
      <c r="I418" s="3"/>
    </row>
    <row r="419" spans="2:9" ht="12.75">
      <c r="B419" s="2"/>
      <c r="C419" s="2"/>
      <c r="D419" s="2"/>
      <c r="E419" s="2"/>
      <c r="H419" s="2"/>
      <c r="I419" s="3"/>
    </row>
    <row r="420" spans="2:9" ht="12.75">
      <c r="B420" s="2"/>
      <c r="C420" s="2"/>
      <c r="D420" s="2"/>
      <c r="E420" s="2"/>
      <c r="H420" s="2"/>
      <c r="I420" s="3"/>
    </row>
    <row r="421" spans="2:9" ht="12.75">
      <c r="B421" s="2"/>
      <c r="C421" s="2"/>
      <c r="D421" s="2"/>
      <c r="E421" s="2"/>
      <c r="H421" s="2"/>
      <c r="I421" s="3"/>
    </row>
    <row r="422" spans="2:9" ht="12.75">
      <c r="B422" s="2"/>
      <c r="C422" s="2"/>
      <c r="D422" s="2"/>
      <c r="E422" s="2"/>
      <c r="H422" s="2"/>
      <c r="I422" s="3"/>
    </row>
    <row r="423" spans="2:9" ht="12.75">
      <c r="B423" s="2"/>
      <c r="C423" s="2"/>
      <c r="D423" s="2"/>
      <c r="E423" s="2"/>
      <c r="H423" s="2"/>
      <c r="I423" s="3"/>
    </row>
    <row r="424" spans="2:9" ht="12.75">
      <c r="B424" s="2"/>
      <c r="C424" s="2"/>
      <c r="D424" s="2"/>
      <c r="E424" s="2"/>
      <c r="H424" s="2"/>
      <c r="I424" s="3"/>
    </row>
    <row r="425" spans="2:9" ht="12.75">
      <c r="B425" s="2"/>
      <c r="C425" s="2"/>
      <c r="D425" s="2"/>
      <c r="E425" s="2"/>
      <c r="H425" s="2"/>
      <c r="I425" s="3"/>
    </row>
    <row r="426" spans="2:9" ht="12.75">
      <c r="B426" s="2"/>
      <c r="C426" s="2"/>
      <c r="D426" s="2"/>
      <c r="E426" s="2"/>
      <c r="H426" s="2"/>
      <c r="I426" s="3"/>
    </row>
    <row r="427" spans="2:9" ht="12.75">
      <c r="B427" s="2"/>
      <c r="C427" s="2"/>
      <c r="D427" s="2"/>
      <c r="E427" s="2"/>
      <c r="H427" s="2"/>
      <c r="I427" s="3"/>
    </row>
    <row r="428" spans="2:9" ht="12.75">
      <c r="B428" s="2"/>
      <c r="C428" s="2"/>
      <c r="D428" s="2"/>
      <c r="E428" s="2"/>
      <c r="H428" s="2"/>
      <c r="I428" s="3"/>
    </row>
    <row r="429" spans="2:9" ht="12.75">
      <c r="B429" s="2"/>
      <c r="C429" s="2"/>
      <c r="D429" s="2"/>
      <c r="E429" s="2"/>
      <c r="H429" s="2"/>
      <c r="I429" s="3"/>
    </row>
    <row r="430" spans="2:9" ht="12.75">
      <c r="B430" s="2"/>
      <c r="C430" s="2"/>
      <c r="D430" s="2"/>
      <c r="E430" s="2"/>
      <c r="H430" s="2"/>
      <c r="I430" s="3"/>
    </row>
    <row r="431" spans="2:9" ht="12.75">
      <c r="B431" s="2"/>
      <c r="C431" s="2"/>
      <c r="D431" s="2"/>
      <c r="E431" s="2"/>
      <c r="H431" s="2"/>
      <c r="I431" s="3"/>
    </row>
    <row r="432" spans="2:9" ht="12.75">
      <c r="B432" s="2"/>
      <c r="C432" s="2"/>
      <c r="D432" s="2"/>
      <c r="E432" s="2"/>
      <c r="H432" s="2"/>
      <c r="I432" s="3"/>
    </row>
    <row r="433" spans="2:9" ht="12.75">
      <c r="B433" s="2"/>
      <c r="C433" s="2"/>
      <c r="D433" s="2"/>
      <c r="E433" s="2"/>
      <c r="H433" s="2"/>
      <c r="I433" s="3"/>
    </row>
    <row r="434" spans="2:9" ht="12.75">
      <c r="B434" s="2"/>
      <c r="C434" s="2"/>
      <c r="D434" s="2"/>
      <c r="E434" s="2"/>
      <c r="H434" s="2"/>
      <c r="I434" s="3"/>
    </row>
    <row r="435" spans="2:9" ht="12.75">
      <c r="B435" s="2"/>
      <c r="C435" s="2"/>
      <c r="D435" s="2"/>
      <c r="E435" s="2"/>
      <c r="H435" s="2"/>
      <c r="I435" s="3"/>
    </row>
    <row r="436" spans="2:9" ht="12.75">
      <c r="B436" s="2"/>
      <c r="C436" s="2"/>
      <c r="D436" s="2"/>
      <c r="E436" s="2"/>
      <c r="H436" s="2"/>
      <c r="I436" s="3"/>
    </row>
    <row r="437" spans="2:9" ht="12.75">
      <c r="B437" s="2"/>
      <c r="C437" s="2"/>
      <c r="D437" s="2"/>
      <c r="E437" s="2"/>
      <c r="H437" s="2"/>
      <c r="I437" s="3"/>
    </row>
    <row r="438" spans="2:9" ht="12.75">
      <c r="B438" s="2"/>
      <c r="C438" s="2"/>
      <c r="D438" s="2"/>
      <c r="E438" s="2"/>
      <c r="H438" s="2"/>
      <c r="I438" s="3"/>
    </row>
    <row r="439" spans="2:9" ht="12.75">
      <c r="B439" s="2"/>
      <c r="C439" s="2"/>
      <c r="D439" s="2"/>
      <c r="E439" s="2"/>
      <c r="H439" s="2"/>
      <c r="I439" s="3"/>
    </row>
    <row r="440" spans="2:9" ht="12.75">
      <c r="B440" s="2"/>
      <c r="C440" s="2"/>
      <c r="D440" s="2"/>
      <c r="E440" s="2"/>
      <c r="H440" s="2"/>
      <c r="I440" s="3"/>
    </row>
    <row r="441" spans="2:9" ht="12.75">
      <c r="B441" s="2"/>
      <c r="C441" s="2"/>
      <c r="D441" s="2"/>
      <c r="E441" s="2"/>
      <c r="H441" s="2"/>
      <c r="I441" s="3"/>
    </row>
    <row r="442" spans="2:9" ht="12.75">
      <c r="B442" s="2"/>
      <c r="C442" s="2"/>
      <c r="D442" s="2"/>
      <c r="E442" s="2"/>
      <c r="H442" s="2"/>
      <c r="I442" s="3"/>
    </row>
    <row r="443" spans="2:9" ht="12.75">
      <c r="B443" s="2"/>
      <c r="C443" s="2"/>
      <c r="D443" s="2"/>
      <c r="E443" s="2"/>
      <c r="H443" s="2"/>
      <c r="I443" s="3"/>
    </row>
    <row r="444" spans="2:9" ht="12.75">
      <c r="B444" s="2"/>
      <c r="C444" s="2"/>
      <c r="D444" s="2"/>
      <c r="E444" s="2"/>
      <c r="H444" s="2"/>
      <c r="I444" s="3"/>
    </row>
    <row r="445" spans="2:9" ht="12.75">
      <c r="B445" s="2"/>
      <c r="C445" s="2"/>
      <c r="D445" s="2"/>
      <c r="E445" s="2"/>
      <c r="H445" s="2"/>
      <c r="I445" s="3"/>
    </row>
    <row r="446" spans="2:9" ht="12.75">
      <c r="B446" s="2"/>
      <c r="C446" s="2"/>
      <c r="D446" s="2"/>
      <c r="E446" s="2"/>
      <c r="H446" s="2"/>
      <c r="I446" s="3"/>
    </row>
    <row r="447" spans="2:9" ht="12.75">
      <c r="B447" s="2"/>
      <c r="C447" s="2"/>
      <c r="D447" s="2"/>
      <c r="E447" s="2"/>
      <c r="H447" s="2"/>
      <c r="I447" s="3"/>
    </row>
    <row r="448" spans="2:9" ht="12.75">
      <c r="B448" s="2"/>
      <c r="C448" s="2"/>
      <c r="D448" s="2"/>
      <c r="E448" s="2"/>
      <c r="H448" s="2"/>
      <c r="I448" s="3"/>
    </row>
    <row r="449" spans="2:9" ht="12.75">
      <c r="B449" s="2"/>
      <c r="C449" s="2"/>
      <c r="D449" s="2"/>
      <c r="E449" s="2"/>
      <c r="H449" s="2"/>
      <c r="I449" s="3"/>
    </row>
    <row r="450" spans="2:9" ht="12.75">
      <c r="B450" s="2"/>
      <c r="C450" s="2"/>
      <c r="D450" s="2"/>
      <c r="E450" s="2"/>
      <c r="H450" s="2"/>
      <c r="I450" s="3"/>
    </row>
    <row r="451" spans="2:9" ht="12.75">
      <c r="B451" s="2"/>
      <c r="C451" s="2"/>
      <c r="D451" s="2"/>
      <c r="E451" s="2"/>
      <c r="H451" s="2"/>
      <c r="I451" s="3"/>
    </row>
    <row r="452" spans="2:9" ht="12.75">
      <c r="B452" s="2"/>
      <c r="C452" s="2"/>
      <c r="D452" s="2"/>
      <c r="E452" s="2"/>
      <c r="H452" s="2"/>
      <c r="I452" s="3"/>
    </row>
    <row r="453" spans="2:9" ht="12.75">
      <c r="B453" s="2"/>
      <c r="C453" s="2"/>
      <c r="D453" s="2"/>
      <c r="E453" s="2"/>
      <c r="H453" s="2"/>
      <c r="I453" s="3"/>
    </row>
    <row r="454" spans="2:9" ht="12.75">
      <c r="B454" s="2"/>
      <c r="C454" s="2"/>
      <c r="D454" s="2"/>
      <c r="E454" s="2"/>
      <c r="H454" s="2"/>
      <c r="I454" s="3"/>
    </row>
    <row r="455" spans="2:9" ht="12.75">
      <c r="B455" s="2"/>
      <c r="C455" s="2"/>
      <c r="D455" s="2"/>
      <c r="E455" s="2"/>
      <c r="H455" s="2"/>
      <c r="I455" s="3"/>
    </row>
    <row r="456" spans="2:9" ht="12.75">
      <c r="B456" s="2"/>
      <c r="C456" s="2"/>
      <c r="D456" s="2"/>
      <c r="E456" s="2"/>
      <c r="H456" s="2"/>
      <c r="I456" s="3"/>
    </row>
    <row r="457" spans="2:9" ht="12.75">
      <c r="B457" s="2"/>
      <c r="C457" s="2"/>
      <c r="D457" s="2"/>
      <c r="E457" s="2"/>
      <c r="H457" s="2"/>
      <c r="I457" s="3"/>
    </row>
    <row r="458" spans="2:9" ht="12.75">
      <c r="B458" s="2"/>
      <c r="C458" s="2"/>
      <c r="D458" s="2"/>
      <c r="E458" s="2"/>
      <c r="H458" s="2"/>
      <c r="I458" s="3"/>
    </row>
    <row r="459" spans="2:9" ht="12.75">
      <c r="B459" s="2"/>
      <c r="C459" s="2"/>
      <c r="D459" s="2"/>
      <c r="E459" s="2"/>
      <c r="H459" s="2"/>
      <c r="I459" s="3"/>
    </row>
    <row r="460" spans="2:9" ht="12.75">
      <c r="B460" s="2"/>
      <c r="C460" s="2"/>
      <c r="D460" s="2"/>
      <c r="E460" s="2"/>
      <c r="H460" s="2"/>
      <c r="I460" s="3"/>
    </row>
    <row r="461" spans="2:9" ht="12.75">
      <c r="B461" s="2"/>
      <c r="C461" s="2"/>
      <c r="D461" s="2"/>
      <c r="E461" s="2"/>
      <c r="H461" s="2"/>
      <c r="I461" s="3"/>
    </row>
    <row r="462" spans="2:9" ht="12.75">
      <c r="B462" s="2"/>
      <c r="C462" s="2"/>
      <c r="D462" s="2"/>
      <c r="E462" s="2"/>
      <c r="H462" s="2"/>
      <c r="I462" s="3"/>
    </row>
    <row r="463" spans="2:9" ht="12.75">
      <c r="B463" s="2"/>
      <c r="C463" s="2"/>
      <c r="D463" s="2"/>
      <c r="E463" s="2"/>
      <c r="H463" s="2"/>
      <c r="I463" s="3"/>
    </row>
    <row r="464" spans="2:9" ht="12.75">
      <c r="B464" s="2"/>
      <c r="C464" s="2"/>
      <c r="D464" s="2"/>
      <c r="E464" s="2"/>
      <c r="H464" s="2"/>
      <c r="I464" s="3"/>
    </row>
    <row r="465" spans="2:9" ht="12.75">
      <c r="B465" s="2"/>
      <c r="C465" s="2"/>
      <c r="D465" s="2"/>
      <c r="E465" s="2"/>
      <c r="H465" s="2"/>
      <c r="I465" s="3"/>
    </row>
    <row r="466" spans="2:9" ht="12.75">
      <c r="B466" s="2"/>
      <c r="C466" s="2"/>
      <c r="D466" s="2"/>
      <c r="E466" s="2"/>
      <c r="H466" s="2"/>
      <c r="I466" s="3"/>
    </row>
    <row r="467" spans="2:9" ht="12.75">
      <c r="B467" s="2"/>
      <c r="C467" s="2"/>
      <c r="D467" s="2"/>
      <c r="E467" s="2"/>
      <c r="H467" s="2"/>
      <c r="I467" s="3"/>
    </row>
    <row r="468" spans="2:9" ht="12.75">
      <c r="B468" s="2"/>
      <c r="C468" s="2"/>
      <c r="D468" s="2"/>
      <c r="E468" s="2"/>
      <c r="H468" s="2"/>
      <c r="I468" s="3"/>
    </row>
    <row r="469" spans="2:9" ht="12.75">
      <c r="B469" s="2"/>
      <c r="C469" s="2"/>
      <c r="D469" s="2"/>
      <c r="E469" s="2"/>
      <c r="H469" s="2"/>
      <c r="I469" s="3"/>
    </row>
    <row r="470" spans="2:9" ht="12.75">
      <c r="B470" s="2"/>
      <c r="C470" s="2"/>
      <c r="D470" s="2"/>
      <c r="E470" s="2"/>
      <c r="H470" s="2"/>
      <c r="I470" s="3"/>
    </row>
    <row r="471" spans="2:9" ht="12.75">
      <c r="B471" s="2"/>
      <c r="C471" s="2"/>
      <c r="D471" s="2"/>
      <c r="E471" s="2"/>
      <c r="H471" s="2"/>
      <c r="I471" s="3"/>
    </row>
    <row r="472" spans="2:9" ht="12.75">
      <c r="B472" s="2"/>
      <c r="C472" s="2"/>
      <c r="D472" s="2"/>
      <c r="E472" s="2"/>
      <c r="H472" s="2"/>
      <c r="I472" s="3"/>
    </row>
    <row r="473" spans="2:9" ht="12.75">
      <c r="B473" s="2"/>
      <c r="C473" s="2"/>
      <c r="D473" s="2"/>
      <c r="E473" s="2"/>
      <c r="H473" s="2"/>
      <c r="I473" s="3"/>
    </row>
    <row r="474" spans="2:9" ht="12.75">
      <c r="B474" s="2"/>
      <c r="C474" s="2"/>
      <c r="D474" s="2"/>
      <c r="E474" s="2"/>
      <c r="H474" s="2"/>
      <c r="I474" s="3"/>
    </row>
    <row r="475" spans="2:9" ht="12.75">
      <c r="B475" s="2"/>
      <c r="C475" s="2"/>
      <c r="D475" s="2"/>
      <c r="E475" s="2"/>
      <c r="H475" s="2"/>
      <c r="I475" s="3"/>
    </row>
    <row r="476" spans="2:9" ht="12.75">
      <c r="B476" s="2"/>
      <c r="C476" s="2"/>
      <c r="D476" s="2"/>
      <c r="E476" s="2"/>
      <c r="H476" s="2"/>
      <c r="I476" s="3"/>
    </row>
    <row r="477" spans="2:9" ht="12.75">
      <c r="B477" s="2"/>
      <c r="C477" s="2"/>
      <c r="D477" s="2"/>
      <c r="E477" s="2"/>
      <c r="H477" s="2"/>
      <c r="I477" s="3"/>
    </row>
    <row r="478" spans="2:9" ht="12.75">
      <c r="B478" s="2"/>
      <c r="C478" s="2"/>
      <c r="D478" s="2"/>
      <c r="E478" s="2"/>
      <c r="H478" s="2"/>
      <c r="I478" s="3"/>
    </row>
    <row r="479" spans="2:9" ht="12.75">
      <c r="B479" s="2"/>
      <c r="C479" s="2"/>
      <c r="D479" s="2"/>
      <c r="E479" s="2"/>
      <c r="H479" s="2"/>
      <c r="I479" s="3"/>
    </row>
    <row r="480" spans="2:9" ht="12.75">
      <c r="B480" s="2"/>
      <c r="C480" s="2"/>
      <c r="D480" s="2"/>
      <c r="E480" s="2"/>
      <c r="H480" s="2"/>
      <c r="I480" s="3"/>
    </row>
    <row r="481" spans="2:9" ht="12.75">
      <c r="B481" s="2"/>
      <c r="C481" s="2"/>
      <c r="D481" s="2"/>
      <c r="E481" s="2"/>
      <c r="H481" s="2"/>
      <c r="I481" s="3"/>
    </row>
    <row r="482" spans="2:9" ht="12.75">
      <c r="B482" s="2"/>
      <c r="C482" s="2"/>
      <c r="D482" s="2"/>
      <c r="E482" s="2"/>
      <c r="H482" s="2"/>
      <c r="I482" s="3"/>
    </row>
    <row r="483" spans="2:9" ht="12.75">
      <c r="B483" s="2"/>
      <c r="C483" s="2"/>
      <c r="D483" s="2"/>
      <c r="E483" s="2"/>
      <c r="H483" s="2"/>
      <c r="I483" s="3"/>
    </row>
    <row r="484" spans="2:9" ht="12.75">
      <c r="B484" s="2"/>
      <c r="C484" s="2"/>
      <c r="D484" s="2"/>
      <c r="E484" s="2"/>
      <c r="H484" s="2"/>
      <c r="I484" s="3"/>
    </row>
    <row r="485" spans="2:9" ht="12.75">
      <c r="B485" s="2"/>
      <c r="C485" s="2"/>
      <c r="D485" s="2"/>
      <c r="E485" s="2"/>
      <c r="H485" s="2"/>
      <c r="I485" s="3"/>
    </row>
    <row r="486" spans="2:9" ht="12.75">
      <c r="B486" s="2"/>
      <c r="C486" s="2"/>
      <c r="D486" s="2"/>
      <c r="E486" s="2"/>
      <c r="H486" s="2"/>
      <c r="I486" s="3"/>
    </row>
    <row r="487" spans="2:9" ht="12.75">
      <c r="B487" s="2"/>
      <c r="C487" s="2"/>
      <c r="D487" s="2"/>
      <c r="E487" s="2"/>
      <c r="H487" s="2"/>
      <c r="I487" s="3"/>
    </row>
    <row r="488" spans="2:9" ht="12.75">
      <c r="B488" s="2"/>
      <c r="C488" s="2"/>
      <c r="D488" s="2"/>
      <c r="E488" s="2"/>
      <c r="H488" s="2"/>
      <c r="I488" s="3"/>
    </row>
    <row r="489" spans="2:9" ht="12.75">
      <c r="B489" s="2"/>
      <c r="C489" s="2"/>
      <c r="D489" s="2"/>
      <c r="E489" s="2"/>
      <c r="H489" s="2"/>
      <c r="I489" s="3"/>
    </row>
    <row r="490" spans="2:9" ht="12.75">
      <c r="B490" s="2"/>
      <c r="C490" s="2"/>
      <c r="D490" s="2"/>
      <c r="E490" s="2"/>
      <c r="H490" s="2"/>
      <c r="I490" s="3"/>
    </row>
    <row r="491" spans="2:9" ht="12.75">
      <c r="B491" s="2"/>
      <c r="C491" s="2"/>
      <c r="D491" s="2"/>
      <c r="E491" s="2"/>
      <c r="H491" s="2"/>
      <c r="I491" s="3"/>
    </row>
    <row r="492" spans="2:9" ht="12.75">
      <c r="B492" s="2"/>
      <c r="C492" s="2"/>
      <c r="D492" s="2"/>
      <c r="E492" s="2"/>
      <c r="H492" s="2"/>
      <c r="I492" s="3"/>
    </row>
    <row r="493" spans="2:9" ht="12.75">
      <c r="B493" s="2"/>
      <c r="C493" s="2"/>
      <c r="D493" s="2"/>
      <c r="E493" s="2"/>
      <c r="H493" s="2"/>
      <c r="I493" s="3"/>
    </row>
    <row r="494" spans="2:9" ht="12.75">
      <c r="B494" s="2"/>
      <c r="C494" s="2"/>
      <c r="D494" s="2"/>
      <c r="E494" s="2"/>
      <c r="H494" s="2"/>
      <c r="I494" s="3"/>
    </row>
    <row r="495" spans="2:9" ht="12.75">
      <c r="B495" s="2"/>
      <c r="C495" s="2"/>
      <c r="D495" s="2"/>
      <c r="E495" s="2"/>
      <c r="H495" s="2"/>
      <c r="I495" s="3"/>
    </row>
    <row r="496" spans="2:9" ht="12.75">
      <c r="B496" s="2"/>
      <c r="C496" s="2"/>
      <c r="D496" s="2"/>
      <c r="E496" s="2"/>
      <c r="H496" s="2"/>
      <c r="I496" s="3"/>
    </row>
    <row r="497" spans="2:9" ht="12.75">
      <c r="B497" s="2"/>
      <c r="C497" s="2"/>
      <c r="D497" s="2"/>
      <c r="E497" s="2"/>
      <c r="H497" s="2"/>
      <c r="I497" s="3"/>
    </row>
    <row r="498" spans="2:9" ht="12.75">
      <c r="B498" s="2"/>
      <c r="C498" s="2"/>
      <c r="D498" s="2"/>
      <c r="E498" s="2"/>
      <c r="H498" s="2"/>
      <c r="I498" s="3"/>
    </row>
    <row r="499" spans="2:9" ht="12.75">
      <c r="B499" s="2"/>
      <c r="C499" s="2"/>
      <c r="D499" s="2"/>
      <c r="E499" s="2"/>
      <c r="H499" s="2"/>
      <c r="I499" s="3"/>
    </row>
    <row r="500" spans="2:9" ht="12.75">
      <c r="B500" s="2"/>
      <c r="C500" s="2"/>
      <c r="D500" s="2"/>
      <c r="E500" s="2"/>
      <c r="H500" s="2"/>
      <c r="I500" s="3"/>
    </row>
    <row r="501" spans="2:9" ht="12.75">
      <c r="B501" s="2"/>
      <c r="C501" s="2"/>
      <c r="D501" s="2"/>
      <c r="E501" s="2"/>
      <c r="H501" s="2"/>
      <c r="I501" s="3"/>
    </row>
    <row r="502" spans="2:9" ht="12.75">
      <c r="B502" s="2"/>
      <c r="C502" s="2"/>
      <c r="D502" s="2"/>
      <c r="E502" s="2"/>
      <c r="H502" s="2"/>
      <c r="I502" s="3"/>
    </row>
    <row r="503" spans="2:9" ht="12.75">
      <c r="B503" s="2"/>
      <c r="C503" s="2"/>
      <c r="D503" s="2"/>
      <c r="E503" s="2"/>
      <c r="H503" s="2"/>
      <c r="I503" s="3"/>
    </row>
    <row r="504" spans="2:9" ht="12.75">
      <c r="B504" s="2"/>
      <c r="C504" s="2"/>
      <c r="D504" s="2"/>
      <c r="E504" s="2"/>
      <c r="H504" s="2"/>
      <c r="I504" s="3"/>
    </row>
    <row r="505" spans="2:9" ht="12.75">
      <c r="B505" s="2"/>
      <c r="C505" s="2"/>
      <c r="D505" s="2"/>
      <c r="E505" s="2"/>
      <c r="H505" s="2"/>
      <c r="I505" s="3"/>
    </row>
    <row r="506" spans="2:9" ht="12.75">
      <c r="B506" s="2"/>
      <c r="C506" s="2"/>
      <c r="D506" s="2"/>
      <c r="E506" s="2"/>
      <c r="H506" s="2"/>
      <c r="I506" s="3"/>
    </row>
    <row r="507" spans="2:9" ht="12.75">
      <c r="B507" s="2"/>
      <c r="C507" s="2"/>
      <c r="D507" s="2"/>
      <c r="E507" s="2"/>
      <c r="H507" s="2"/>
      <c r="I507" s="3"/>
    </row>
    <row r="508" spans="2:9" ht="12.75">
      <c r="B508" s="2"/>
      <c r="C508" s="2"/>
      <c r="D508" s="2"/>
      <c r="E508" s="2"/>
      <c r="H508" s="2"/>
      <c r="I508" s="3"/>
    </row>
    <row r="509" spans="2:9" ht="12.75">
      <c r="B509" s="2"/>
      <c r="C509" s="2"/>
      <c r="D509" s="2"/>
      <c r="E509" s="2"/>
      <c r="H509" s="2"/>
      <c r="I509" s="3"/>
    </row>
    <row r="510" spans="2:9" ht="12.75">
      <c r="B510" s="2"/>
      <c r="C510" s="2"/>
      <c r="D510" s="2"/>
      <c r="E510" s="2"/>
      <c r="H510" s="2"/>
      <c r="I510" s="3"/>
    </row>
    <row r="511" spans="2:9" ht="12.75">
      <c r="B511" s="2"/>
      <c r="C511" s="2"/>
      <c r="D511" s="2"/>
      <c r="E511" s="2"/>
      <c r="H511" s="2"/>
      <c r="I511" s="3"/>
    </row>
    <row r="512" spans="2:9" ht="12.75">
      <c r="B512" s="2"/>
      <c r="C512" s="2"/>
      <c r="D512" s="2"/>
      <c r="E512" s="2"/>
      <c r="H512" s="2"/>
      <c r="I512" s="3"/>
    </row>
    <row r="513" spans="2:9" ht="12.75">
      <c r="B513" s="2"/>
      <c r="C513" s="2"/>
      <c r="D513" s="2"/>
      <c r="E513" s="2"/>
      <c r="H513" s="2"/>
      <c r="I513" s="3"/>
    </row>
    <row r="514" spans="2:9" ht="12.75">
      <c r="B514" s="2"/>
      <c r="C514" s="2"/>
      <c r="D514" s="2"/>
      <c r="E514" s="2"/>
      <c r="H514" s="2"/>
      <c r="I514" s="3"/>
    </row>
    <row r="515" spans="2:9" ht="12.75">
      <c r="B515" s="2"/>
      <c r="C515" s="2"/>
      <c r="D515" s="2"/>
      <c r="E515" s="2"/>
      <c r="H515" s="2"/>
      <c r="I515" s="3"/>
    </row>
    <row r="516" spans="2:9" ht="12.75">
      <c r="B516" s="2"/>
      <c r="C516" s="2"/>
      <c r="D516" s="2"/>
      <c r="E516" s="2"/>
      <c r="H516" s="2"/>
      <c r="I516" s="3"/>
    </row>
    <row r="517" spans="2:9" ht="12.75">
      <c r="B517" s="2"/>
      <c r="C517" s="2"/>
      <c r="D517" s="2"/>
      <c r="E517" s="2"/>
      <c r="H517" s="2"/>
      <c r="I517" s="3"/>
    </row>
    <row r="518" spans="2:9" ht="12.75">
      <c r="B518" s="2"/>
      <c r="C518" s="2"/>
      <c r="D518" s="2"/>
      <c r="E518" s="2"/>
      <c r="H518" s="2"/>
      <c r="I518" s="3"/>
    </row>
    <row r="519" spans="2:9" ht="12.75">
      <c r="B519" s="2"/>
      <c r="C519" s="2"/>
      <c r="D519" s="2"/>
      <c r="E519" s="2"/>
      <c r="H519" s="2"/>
      <c r="I519" s="3"/>
    </row>
    <row r="520" spans="2:9" ht="12.75">
      <c r="B520" s="2"/>
      <c r="C520" s="2"/>
      <c r="D520" s="2"/>
      <c r="E520" s="2"/>
      <c r="H520" s="2"/>
      <c r="I520" s="3"/>
    </row>
    <row r="521" spans="2:9" ht="12.75">
      <c r="B521" s="2"/>
      <c r="C521" s="2"/>
      <c r="D521" s="2"/>
      <c r="E521" s="2"/>
      <c r="H521" s="2"/>
      <c r="I521" s="3"/>
    </row>
    <row r="522" spans="2:9" ht="12.75">
      <c r="B522" s="2"/>
      <c r="C522" s="2"/>
      <c r="D522" s="2"/>
      <c r="E522" s="2"/>
      <c r="H522" s="2"/>
      <c r="I522" s="3"/>
    </row>
    <row r="523" spans="2:9" ht="12.75">
      <c r="B523" s="2"/>
      <c r="C523" s="2"/>
      <c r="D523" s="2"/>
      <c r="E523" s="2"/>
      <c r="H523" s="2"/>
      <c r="I523" s="3"/>
    </row>
    <row r="524" spans="2:9" ht="12.75">
      <c r="B524" s="2"/>
      <c r="C524" s="2"/>
      <c r="D524" s="2"/>
      <c r="E524" s="2"/>
      <c r="H524" s="2"/>
      <c r="I524" s="3"/>
    </row>
    <row r="525" spans="2:9" ht="12.75">
      <c r="B525" s="2"/>
      <c r="C525" s="2"/>
      <c r="D525" s="2"/>
      <c r="E525" s="2"/>
      <c r="H525" s="2"/>
      <c r="I525" s="3"/>
    </row>
    <row r="526" spans="2:9" ht="12.75">
      <c r="B526" s="2"/>
      <c r="C526" s="2"/>
      <c r="D526" s="2"/>
      <c r="E526" s="2"/>
      <c r="H526" s="2"/>
      <c r="I526" s="3"/>
    </row>
    <row r="527" spans="2:9" ht="12.75">
      <c r="B527" s="2"/>
      <c r="C527" s="2"/>
      <c r="D527" s="2"/>
      <c r="E527" s="2"/>
      <c r="H527" s="2"/>
      <c r="I527" s="3"/>
    </row>
    <row r="528" spans="2:9" ht="12.75">
      <c r="B528" s="2"/>
      <c r="C528" s="2"/>
      <c r="D528" s="2"/>
      <c r="E528" s="2"/>
      <c r="H528" s="2"/>
      <c r="I528" s="3"/>
    </row>
    <row r="529" spans="2:9" ht="12.75">
      <c r="B529" s="2"/>
      <c r="C529" s="2"/>
      <c r="D529" s="2"/>
      <c r="E529" s="2"/>
      <c r="H529" s="2"/>
      <c r="I529" s="3"/>
    </row>
    <row r="530" spans="2:9" ht="12.75">
      <c r="B530" s="2"/>
      <c r="C530" s="2"/>
      <c r="D530" s="2"/>
      <c r="E530" s="2"/>
      <c r="H530" s="2"/>
      <c r="I530" s="3"/>
    </row>
    <row r="531" spans="2:9" ht="12.75">
      <c r="B531" s="2"/>
      <c r="C531" s="2"/>
      <c r="D531" s="2"/>
      <c r="E531" s="2"/>
      <c r="H531" s="2"/>
      <c r="I531" s="3"/>
    </row>
    <row r="532" spans="2:9" ht="12.75">
      <c r="B532" s="2"/>
      <c r="C532" s="2"/>
      <c r="D532" s="2"/>
      <c r="E532" s="2"/>
      <c r="H532" s="2"/>
      <c r="I532" s="3"/>
    </row>
    <row r="533" spans="2:9" ht="12.75">
      <c r="B533" s="2"/>
      <c r="C533" s="2"/>
      <c r="D533" s="2"/>
      <c r="E533" s="2"/>
      <c r="H533" s="2"/>
      <c r="I533" s="3"/>
    </row>
    <row r="534" spans="2:9" ht="12.75">
      <c r="B534" s="2"/>
      <c r="C534" s="2"/>
      <c r="D534" s="2"/>
      <c r="E534" s="2"/>
      <c r="H534" s="2"/>
      <c r="I534" s="3"/>
    </row>
    <row r="535" spans="2:9" ht="12.75">
      <c r="B535" s="2"/>
      <c r="C535" s="2"/>
      <c r="D535" s="2"/>
      <c r="E535" s="2"/>
      <c r="H535" s="2"/>
      <c r="I535" s="3"/>
    </row>
    <row r="536" spans="2:9" ht="12.75">
      <c r="B536" s="2"/>
      <c r="C536" s="2"/>
      <c r="D536" s="2"/>
      <c r="E536" s="2"/>
      <c r="H536" s="2"/>
      <c r="I536" s="3"/>
    </row>
    <row r="537" spans="2:9" ht="12.75">
      <c r="B537" s="2"/>
      <c r="C537" s="2"/>
      <c r="D537" s="2"/>
      <c r="E537" s="2"/>
      <c r="H537" s="2"/>
      <c r="I537" s="3"/>
    </row>
    <row r="538" spans="2:9" ht="12.75">
      <c r="B538" s="2"/>
      <c r="C538" s="2"/>
      <c r="D538" s="2"/>
      <c r="E538" s="2"/>
      <c r="H538" s="2"/>
      <c r="I538" s="3"/>
    </row>
    <row r="539" spans="2:9" ht="12.75">
      <c r="B539" s="2"/>
      <c r="C539" s="2"/>
      <c r="D539" s="2"/>
      <c r="E539" s="2"/>
      <c r="H539" s="2"/>
      <c r="I539" s="3"/>
    </row>
    <row r="540" spans="2:9" ht="12.75">
      <c r="B540" s="2"/>
      <c r="C540" s="2"/>
      <c r="D540" s="2"/>
      <c r="E540" s="2"/>
      <c r="H540" s="2"/>
      <c r="I540" s="3"/>
    </row>
    <row r="541" spans="2:9" ht="12.75">
      <c r="B541" s="2"/>
      <c r="C541" s="2"/>
      <c r="D541" s="2"/>
      <c r="E541" s="2"/>
      <c r="H541" s="2"/>
      <c r="I541" s="3"/>
    </row>
    <row r="542" spans="2:9" ht="12.75">
      <c r="B542" s="2"/>
      <c r="C542" s="2"/>
      <c r="D542" s="2"/>
      <c r="E542" s="2"/>
      <c r="H542" s="2"/>
      <c r="I542" s="3"/>
    </row>
    <row r="543" spans="2:9" ht="12.75">
      <c r="B543" s="2"/>
      <c r="C543" s="2"/>
      <c r="D543" s="2"/>
      <c r="E543" s="2"/>
      <c r="H543" s="2"/>
      <c r="I543" s="3"/>
    </row>
    <row r="544" spans="2:9" ht="12.75">
      <c r="B544" s="2"/>
      <c r="C544" s="2"/>
      <c r="D544" s="2"/>
      <c r="E544" s="2"/>
      <c r="H544" s="2"/>
      <c r="I544" s="3"/>
    </row>
    <row r="545" spans="2:9" ht="12.75">
      <c r="B545" s="2"/>
      <c r="C545" s="2"/>
      <c r="D545" s="2"/>
      <c r="E545" s="2"/>
      <c r="H545" s="2"/>
      <c r="I545" s="3"/>
    </row>
    <row r="546" spans="2:9" ht="12.75">
      <c r="B546" s="2"/>
      <c r="C546" s="2"/>
      <c r="D546" s="2"/>
      <c r="E546" s="2"/>
      <c r="H546" s="2"/>
      <c r="I546" s="3"/>
    </row>
    <row r="547" spans="2:9" ht="12.75">
      <c r="B547" s="2"/>
      <c r="C547" s="2"/>
      <c r="D547" s="2"/>
      <c r="E547" s="2"/>
      <c r="H547" s="2"/>
      <c r="I547" s="3"/>
    </row>
    <row r="548" spans="2:9" ht="12.75">
      <c r="B548" s="2"/>
      <c r="C548" s="2"/>
      <c r="D548" s="2"/>
      <c r="E548" s="2"/>
      <c r="H548" s="2"/>
      <c r="I548" s="3"/>
    </row>
    <row r="549" spans="2:9" ht="12.75">
      <c r="B549" s="2"/>
      <c r="C549" s="2"/>
      <c r="D549" s="2"/>
      <c r="E549" s="2"/>
      <c r="H549" s="2"/>
      <c r="I549" s="3"/>
    </row>
    <row r="550" spans="2:9" ht="12.75">
      <c r="B550" s="2"/>
      <c r="C550" s="2"/>
      <c r="D550" s="2"/>
      <c r="E550" s="2"/>
      <c r="H550" s="2"/>
      <c r="I550" s="3"/>
    </row>
    <row r="551" spans="2:9" ht="12.75">
      <c r="B551" s="2"/>
      <c r="C551" s="2"/>
      <c r="D551" s="2"/>
      <c r="E551" s="2"/>
      <c r="H551" s="2"/>
      <c r="I551" s="3"/>
    </row>
    <row r="552" spans="2:9" ht="12.75">
      <c r="B552" s="2"/>
      <c r="C552" s="2"/>
      <c r="D552" s="2"/>
      <c r="E552" s="2"/>
      <c r="H552" s="2"/>
      <c r="I552" s="3"/>
    </row>
    <row r="553" spans="2:9" ht="12.75">
      <c r="B553" s="2"/>
      <c r="C553" s="2"/>
      <c r="D553" s="2"/>
      <c r="E553" s="2"/>
      <c r="H553" s="2"/>
      <c r="I553" s="3"/>
    </row>
    <row r="554" spans="2:9" ht="12.75">
      <c r="B554" s="2"/>
      <c r="C554" s="2"/>
      <c r="D554" s="2"/>
      <c r="E554" s="2"/>
      <c r="H554" s="2"/>
      <c r="I554" s="3"/>
    </row>
    <row r="555" spans="2:9" ht="12.75">
      <c r="B555" s="2"/>
      <c r="C555" s="2"/>
      <c r="D555" s="2"/>
      <c r="E555" s="2"/>
      <c r="H555" s="2"/>
      <c r="I555" s="3"/>
    </row>
    <row r="556" spans="2:9" ht="12.75">
      <c r="B556" s="2"/>
      <c r="C556" s="2"/>
      <c r="D556" s="2"/>
      <c r="E556" s="2"/>
      <c r="H556" s="2"/>
      <c r="I556" s="3"/>
    </row>
    <row r="557" spans="2:9" ht="12.75">
      <c r="B557" s="2"/>
      <c r="C557" s="2"/>
      <c r="D557" s="2"/>
      <c r="E557" s="2"/>
      <c r="H557" s="2"/>
      <c r="I557" s="3"/>
    </row>
    <row r="558" spans="2:9" ht="12.75">
      <c r="B558" s="2"/>
      <c r="C558" s="2"/>
      <c r="D558" s="2"/>
      <c r="E558" s="2"/>
      <c r="H558" s="2"/>
      <c r="I558" s="3"/>
    </row>
    <row r="559" spans="2:9" ht="12.75">
      <c r="B559" s="2"/>
      <c r="C559" s="2"/>
      <c r="D559" s="2"/>
      <c r="E559" s="2"/>
      <c r="H559" s="2"/>
      <c r="I559" s="3"/>
    </row>
    <row r="560" spans="2:9" ht="12.75">
      <c r="B560" s="2"/>
      <c r="C560" s="2"/>
      <c r="D560" s="2"/>
      <c r="E560" s="2"/>
      <c r="H560" s="2"/>
      <c r="I560" s="3"/>
    </row>
    <row r="561" spans="2:9" ht="12.75">
      <c r="B561" s="2"/>
      <c r="C561" s="2"/>
      <c r="D561" s="2"/>
      <c r="E561" s="2"/>
      <c r="H561" s="2"/>
      <c r="I561" s="3"/>
    </row>
    <row r="562" spans="2:9" ht="12.75">
      <c r="B562" s="2"/>
      <c r="C562" s="2"/>
      <c r="D562" s="2"/>
      <c r="E562" s="2"/>
      <c r="H562" s="2"/>
      <c r="I562" s="3"/>
    </row>
    <row r="563" spans="2:9" ht="12.75">
      <c r="B563" s="2"/>
      <c r="C563" s="2"/>
      <c r="D563" s="2"/>
      <c r="E563" s="2"/>
      <c r="H563" s="2"/>
      <c r="I563" s="3"/>
    </row>
    <row r="564" spans="2:9" ht="12.75">
      <c r="B564" s="2"/>
      <c r="C564" s="2"/>
      <c r="D564" s="2"/>
      <c r="E564" s="2"/>
      <c r="H564" s="2"/>
      <c r="I564" s="3"/>
    </row>
    <row r="565" spans="2:9" ht="12.75">
      <c r="B565" s="2"/>
      <c r="C565" s="2"/>
      <c r="D565" s="2"/>
      <c r="E565" s="2"/>
      <c r="H565" s="2"/>
      <c r="I565" s="3"/>
    </row>
    <row r="566" spans="2:9" ht="12.75">
      <c r="B566" s="2"/>
      <c r="C566" s="2"/>
      <c r="D566" s="2"/>
      <c r="E566" s="2"/>
      <c r="H566" s="2"/>
      <c r="I566" s="3"/>
    </row>
    <row r="567" spans="2:9" ht="12.75">
      <c r="B567" s="2"/>
      <c r="C567" s="2"/>
      <c r="D567" s="2"/>
      <c r="E567" s="2"/>
      <c r="H567" s="2"/>
      <c r="I567" s="3"/>
    </row>
    <row r="568" spans="2:9" ht="12.75">
      <c r="B568" s="2"/>
      <c r="C568" s="2"/>
      <c r="D568" s="2"/>
      <c r="E568" s="2"/>
      <c r="H568" s="2"/>
      <c r="I568" s="3"/>
    </row>
    <row r="569" spans="2:9" ht="12.75">
      <c r="B569" s="2"/>
      <c r="C569" s="2"/>
      <c r="D569" s="2"/>
      <c r="E569" s="2"/>
      <c r="H569" s="2"/>
      <c r="I569" s="3"/>
    </row>
    <row r="570" spans="2:9" ht="12.75">
      <c r="B570" s="2"/>
      <c r="C570" s="2"/>
      <c r="D570" s="2"/>
      <c r="E570" s="2"/>
      <c r="H570" s="2"/>
      <c r="I570" s="3"/>
    </row>
    <row r="571" spans="2:9" ht="12.75">
      <c r="B571" s="2"/>
      <c r="C571" s="2"/>
      <c r="D571" s="2"/>
      <c r="E571" s="2"/>
      <c r="H571" s="2"/>
      <c r="I571" s="3"/>
    </row>
    <row r="572" spans="2:9" ht="12.75">
      <c r="B572" s="2"/>
      <c r="C572" s="2"/>
      <c r="D572" s="2"/>
      <c r="E572" s="2"/>
      <c r="H572" s="2"/>
      <c r="I572" s="3"/>
    </row>
    <row r="573" spans="2:9" ht="12.75">
      <c r="B573" s="2"/>
      <c r="C573" s="2"/>
      <c r="D573" s="2"/>
      <c r="E573" s="2"/>
      <c r="H573" s="2"/>
      <c r="I573" s="3"/>
    </row>
    <row r="574" spans="2:9" ht="12.75">
      <c r="B574" s="2"/>
      <c r="C574" s="2"/>
      <c r="D574" s="2"/>
      <c r="E574" s="2"/>
      <c r="H574" s="2"/>
      <c r="I574" s="3"/>
    </row>
    <row r="575" spans="2:9" ht="12.75">
      <c r="B575" s="2"/>
      <c r="C575" s="2"/>
      <c r="D575" s="2"/>
      <c r="E575" s="2"/>
      <c r="H575" s="2"/>
      <c r="I575" s="3"/>
    </row>
    <row r="576" spans="2:9" ht="12.75">
      <c r="B576" s="2"/>
      <c r="C576" s="2"/>
      <c r="D576" s="2"/>
      <c r="E576" s="2"/>
      <c r="H576" s="2"/>
      <c r="I576" s="3"/>
    </row>
    <row r="577" spans="2:9" ht="12.75">
      <c r="B577" s="2"/>
      <c r="C577" s="2"/>
      <c r="D577" s="2"/>
      <c r="E577" s="2"/>
      <c r="H577" s="2"/>
      <c r="I577" s="3"/>
    </row>
    <row r="578" spans="2:9" ht="12.75">
      <c r="B578" s="2"/>
      <c r="C578" s="2"/>
      <c r="D578" s="2"/>
      <c r="E578" s="2"/>
      <c r="H578" s="2"/>
      <c r="I578" s="3"/>
    </row>
    <row r="579" spans="2:9" ht="12.75">
      <c r="B579" s="2"/>
      <c r="C579" s="2"/>
      <c r="D579" s="2"/>
      <c r="E579" s="2"/>
      <c r="H579" s="2"/>
      <c r="I579" s="3"/>
    </row>
    <row r="580" spans="2:9" ht="12.75">
      <c r="B580" s="2"/>
      <c r="C580" s="2"/>
      <c r="D580" s="2"/>
      <c r="E580" s="2"/>
      <c r="H580" s="2"/>
      <c r="I580" s="3"/>
    </row>
    <row r="581" spans="2:9" ht="12.75">
      <c r="B581" s="2"/>
      <c r="C581" s="2"/>
      <c r="D581" s="2"/>
      <c r="E581" s="2"/>
      <c r="H581" s="2"/>
      <c r="I581" s="3"/>
    </row>
    <row r="582" spans="2:9" ht="12.75">
      <c r="B582" s="2"/>
      <c r="C582" s="2"/>
      <c r="D582" s="2"/>
      <c r="E582" s="2"/>
      <c r="H582" s="2"/>
      <c r="I582" s="3"/>
    </row>
    <row r="583" spans="2:9" ht="12.75">
      <c r="B583" s="2"/>
      <c r="C583" s="2"/>
      <c r="D583" s="2"/>
      <c r="E583" s="2"/>
      <c r="H583" s="2"/>
      <c r="I583" s="3"/>
    </row>
    <row r="584" spans="2:9" ht="12.75">
      <c r="B584" s="2"/>
      <c r="C584" s="2"/>
      <c r="D584" s="2"/>
      <c r="E584" s="2"/>
      <c r="H584" s="2"/>
      <c r="I584" s="3"/>
    </row>
    <row r="585" spans="2:9" ht="12.75">
      <c r="B585" s="2"/>
      <c r="C585" s="2"/>
      <c r="D585" s="2"/>
      <c r="E585" s="2"/>
      <c r="H585" s="2"/>
      <c r="I585" s="3"/>
    </row>
    <row r="586" spans="2:9" ht="12.75">
      <c r="B586" s="2"/>
      <c r="C586" s="2"/>
      <c r="D586" s="2"/>
      <c r="E586" s="2"/>
      <c r="H586" s="2"/>
      <c r="I586" s="3"/>
    </row>
    <row r="587" spans="2:9" ht="12.75">
      <c r="B587" s="2"/>
      <c r="C587" s="2"/>
      <c r="D587" s="2"/>
      <c r="E587" s="2"/>
      <c r="H587" s="2"/>
      <c r="I587" s="3"/>
    </row>
    <row r="588" spans="2:9" ht="12.75">
      <c r="B588" s="2"/>
      <c r="C588" s="2"/>
      <c r="D588" s="2"/>
      <c r="E588" s="2"/>
      <c r="H588" s="2"/>
      <c r="I588" s="3"/>
    </row>
    <row r="589" spans="2:9" ht="12.75">
      <c r="B589" s="2"/>
      <c r="C589" s="2"/>
      <c r="D589" s="2"/>
      <c r="E589" s="2"/>
      <c r="H589" s="2"/>
      <c r="I589" s="3"/>
    </row>
    <row r="590" spans="2:9" ht="12.75">
      <c r="B590" s="2"/>
      <c r="C590" s="2"/>
      <c r="D590" s="2"/>
      <c r="E590" s="2"/>
      <c r="H590" s="2"/>
      <c r="I590" s="3"/>
    </row>
    <row r="591" spans="2:9" ht="12.75">
      <c r="B591" s="2"/>
      <c r="C591" s="2"/>
      <c r="D591" s="2"/>
      <c r="E591" s="2"/>
      <c r="H591" s="2"/>
      <c r="I591" s="3"/>
    </row>
    <row r="592" spans="2:9" ht="12.75">
      <c r="B592" s="2"/>
      <c r="C592" s="2"/>
      <c r="D592" s="2"/>
      <c r="E592" s="2"/>
      <c r="H592" s="2"/>
      <c r="I592" s="3"/>
    </row>
    <row r="593" spans="2:9" ht="12.75">
      <c r="B593" s="2"/>
      <c r="C593" s="2"/>
      <c r="D593" s="2"/>
      <c r="E593" s="2"/>
      <c r="H593" s="2"/>
      <c r="I593" s="3"/>
    </row>
    <row r="594" spans="2:9" ht="12.75">
      <c r="B594" s="2"/>
      <c r="C594" s="2"/>
      <c r="D594" s="2"/>
      <c r="E594" s="2"/>
      <c r="H594" s="2"/>
      <c r="I594" s="3"/>
    </row>
    <row r="595" spans="2:9" ht="12.75">
      <c r="B595" s="2"/>
      <c r="C595" s="2"/>
      <c r="D595" s="2"/>
      <c r="E595" s="2"/>
      <c r="H595" s="2"/>
      <c r="I595" s="3"/>
    </row>
    <row r="596" spans="2:9" ht="12.75">
      <c r="B596" s="2"/>
      <c r="C596" s="2"/>
      <c r="D596" s="2"/>
      <c r="E596" s="2"/>
      <c r="H596" s="2"/>
      <c r="I596" s="3"/>
    </row>
    <row r="597" spans="2:9" ht="12.75">
      <c r="B597" s="2"/>
      <c r="C597" s="2"/>
      <c r="D597" s="2"/>
      <c r="E597" s="2"/>
      <c r="H597" s="2"/>
      <c r="I597" s="3"/>
    </row>
    <row r="598" spans="2:9" ht="12.75">
      <c r="B598" s="2"/>
      <c r="C598" s="2"/>
      <c r="D598" s="2"/>
      <c r="E598" s="2"/>
      <c r="H598" s="2"/>
      <c r="I598" s="3"/>
    </row>
    <row r="599" spans="2:9" ht="12.75">
      <c r="B599" s="2"/>
      <c r="C599" s="2"/>
      <c r="D599" s="2"/>
      <c r="E599" s="2"/>
      <c r="H599" s="2"/>
      <c r="I599" s="3"/>
    </row>
    <row r="600" spans="2:9" ht="12.75">
      <c r="B600" s="2"/>
      <c r="C600" s="2"/>
      <c r="D600" s="2"/>
      <c r="E600" s="2"/>
      <c r="H600" s="2"/>
      <c r="I600" s="3"/>
    </row>
    <row r="601" spans="2:9" ht="12.75">
      <c r="B601" s="2"/>
      <c r="C601" s="2"/>
      <c r="D601" s="2"/>
      <c r="E601" s="2"/>
      <c r="H601" s="2"/>
      <c r="I601" s="3"/>
    </row>
    <row r="602" spans="2:9" ht="12.75">
      <c r="B602" s="2"/>
      <c r="C602" s="2"/>
      <c r="D602" s="2"/>
      <c r="E602" s="2"/>
      <c r="H602" s="2"/>
      <c r="I602" s="3"/>
    </row>
    <row r="603" spans="2:9" ht="12.75">
      <c r="B603" s="2"/>
      <c r="C603" s="2"/>
      <c r="D603" s="2"/>
      <c r="E603" s="2"/>
      <c r="H603" s="2"/>
      <c r="I603" s="3"/>
    </row>
    <row r="604" spans="2:9" ht="12.75">
      <c r="B604" s="2"/>
      <c r="C604" s="2"/>
      <c r="D604" s="2"/>
      <c r="E604" s="2"/>
      <c r="H604" s="2"/>
      <c r="I604" s="3"/>
    </row>
    <row r="605" spans="2:9" ht="12.75">
      <c r="B605" s="2"/>
      <c r="C605" s="2"/>
      <c r="D605" s="2"/>
      <c r="E605" s="2"/>
      <c r="H605" s="2"/>
      <c r="I605" s="3"/>
    </row>
    <row r="606" spans="2:9" ht="12.75">
      <c r="B606" s="2"/>
      <c r="C606" s="2"/>
      <c r="D606" s="2"/>
      <c r="E606" s="2"/>
      <c r="H606" s="2"/>
      <c r="I606" s="3"/>
    </row>
    <row r="607" spans="2:9" ht="12.75">
      <c r="B607" s="2"/>
      <c r="C607" s="2"/>
      <c r="D607" s="2"/>
      <c r="E607" s="2"/>
      <c r="H607" s="2"/>
      <c r="I607" s="3"/>
    </row>
    <row r="608" spans="2:9" ht="12.75">
      <c r="B608" s="2"/>
      <c r="C608" s="2"/>
      <c r="D608" s="2"/>
      <c r="E608" s="2"/>
      <c r="H608" s="2"/>
      <c r="I608" s="3"/>
    </row>
    <row r="609" spans="2:9" ht="12.75">
      <c r="B609" s="2"/>
      <c r="C609" s="2"/>
      <c r="D609" s="2"/>
      <c r="E609" s="2"/>
      <c r="H609" s="2"/>
      <c r="I609" s="3"/>
    </row>
    <row r="610" spans="2:9" ht="12.75">
      <c r="B610" s="2"/>
      <c r="C610" s="2"/>
      <c r="D610" s="2"/>
      <c r="E610" s="2"/>
      <c r="H610" s="2"/>
      <c r="I610" s="3"/>
    </row>
    <row r="611" spans="2:9" ht="12.75">
      <c r="B611" s="2"/>
      <c r="C611" s="2"/>
      <c r="D611" s="2"/>
      <c r="E611" s="2"/>
      <c r="H611" s="2"/>
      <c r="I611" s="3"/>
    </row>
    <row r="612" spans="2:9" ht="12.75">
      <c r="B612" s="2"/>
      <c r="C612" s="2"/>
      <c r="D612" s="2"/>
      <c r="E612" s="2"/>
      <c r="H612" s="2"/>
      <c r="I612" s="3"/>
    </row>
    <row r="613" spans="2:9" ht="12.75">
      <c r="B613" s="2"/>
      <c r="C613" s="2"/>
      <c r="D613" s="2"/>
      <c r="E613" s="2"/>
      <c r="H613" s="2"/>
      <c r="I613" s="3"/>
    </row>
    <row r="614" spans="2:9" ht="12.75">
      <c r="B614" s="2"/>
      <c r="C614" s="2"/>
      <c r="D614" s="2"/>
      <c r="E614" s="2"/>
      <c r="H614" s="2"/>
      <c r="I614" s="3"/>
    </row>
    <row r="615" spans="2:9" ht="12.75">
      <c r="B615" s="2"/>
      <c r="C615" s="2"/>
      <c r="D615" s="2"/>
      <c r="E615" s="2"/>
      <c r="H615" s="2"/>
      <c r="I615" s="3"/>
    </row>
    <row r="616" spans="2:9" ht="12.75">
      <c r="B616" s="2"/>
      <c r="C616" s="2"/>
      <c r="D616" s="2"/>
      <c r="E616" s="2"/>
      <c r="H616" s="2"/>
      <c r="I616" s="3"/>
    </row>
    <row r="617" spans="2:9" ht="12.75">
      <c r="B617" s="2"/>
      <c r="C617" s="2"/>
      <c r="D617" s="2"/>
      <c r="E617" s="2"/>
      <c r="H617" s="2"/>
      <c r="I617" s="3"/>
    </row>
    <row r="618" spans="2:9" ht="12.75">
      <c r="B618" s="2"/>
      <c r="C618" s="2"/>
      <c r="D618" s="2"/>
      <c r="E618" s="2"/>
      <c r="H618" s="2"/>
      <c r="I618" s="3"/>
    </row>
    <row r="619" spans="2:9" ht="12.75">
      <c r="B619" s="2"/>
      <c r="C619" s="2"/>
      <c r="D619" s="2"/>
      <c r="E619" s="2"/>
      <c r="H619" s="2"/>
      <c r="I619" s="3"/>
    </row>
    <row r="620" spans="2:9" ht="12.75">
      <c r="B620" s="2"/>
      <c r="C620" s="2"/>
      <c r="D620" s="2"/>
      <c r="E620" s="2"/>
      <c r="H620" s="2"/>
      <c r="I620" s="3"/>
    </row>
    <row r="621" spans="2:9" ht="12.75">
      <c r="B621" s="2"/>
      <c r="C621" s="2"/>
      <c r="D621" s="2"/>
      <c r="E621" s="2"/>
      <c r="H621" s="2"/>
      <c r="I621" s="3"/>
    </row>
    <row r="622" spans="2:9" ht="12.75">
      <c r="B622" s="2"/>
      <c r="C622" s="2"/>
      <c r="D622" s="2"/>
      <c r="E622" s="2"/>
      <c r="H622" s="2"/>
      <c r="I622" s="3"/>
    </row>
    <row r="623" spans="2:9" ht="12.75">
      <c r="B623" s="2"/>
      <c r="C623" s="2"/>
      <c r="D623" s="2"/>
      <c r="E623" s="2"/>
      <c r="H623" s="2"/>
      <c r="I623" s="3"/>
    </row>
    <row r="624" spans="2:9" ht="12.75">
      <c r="B624" s="2"/>
      <c r="C624" s="2"/>
      <c r="D624" s="2"/>
      <c r="E624" s="2"/>
      <c r="H624" s="2"/>
      <c r="I624" s="3"/>
    </row>
    <row r="625" spans="2:9" ht="12.75">
      <c r="B625" s="2"/>
      <c r="C625" s="2"/>
      <c r="D625" s="2"/>
      <c r="E625" s="2"/>
      <c r="H625" s="2"/>
      <c r="I625" s="3"/>
    </row>
    <row r="626" spans="2:9" ht="12.75">
      <c r="B626" s="2"/>
      <c r="C626" s="2"/>
      <c r="D626" s="2"/>
      <c r="E626" s="2"/>
      <c r="H626" s="2"/>
      <c r="I626" s="3"/>
    </row>
    <row r="627" spans="2:9" ht="12.75">
      <c r="B627" s="2"/>
      <c r="C627" s="2"/>
      <c r="D627" s="2"/>
      <c r="E627" s="2"/>
      <c r="H627" s="2"/>
      <c r="I627" s="3"/>
    </row>
    <row r="628" spans="2:9" ht="12.75">
      <c r="B628" s="2"/>
      <c r="C628" s="2"/>
      <c r="D628" s="2"/>
      <c r="E628" s="2"/>
      <c r="H628" s="2"/>
      <c r="I628" s="3"/>
    </row>
    <row r="629" spans="2:9" ht="12.75">
      <c r="B629" s="2"/>
      <c r="C629" s="2"/>
      <c r="D629" s="2"/>
      <c r="E629" s="2"/>
      <c r="H629" s="2"/>
      <c r="I629" s="3"/>
    </row>
    <row r="630" spans="2:9" ht="12.75">
      <c r="B630" s="2"/>
      <c r="C630" s="2"/>
      <c r="D630" s="2"/>
      <c r="E630" s="2"/>
      <c r="H630" s="2"/>
      <c r="I630" s="3"/>
    </row>
    <row r="631" spans="2:9" ht="12.75">
      <c r="B631" s="2"/>
      <c r="C631" s="2"/>
      <c r="D631" s="2"/>
      <c r="E631" s="2"/>
      <c r="H631" s="2"/>
      <c r="I631" s="3"/>
    </row>
    <row r="632" spans="2:9" ht="12.75">
      <c r="B632" s="2"/>
      <c r="C632" s="2"/>
      <c r="D632" s="2"/>
      <c r="E632" s="2"/>
      <c r="H632" s="2"/>
      <c r="I632" s="3"/>
    </row>
    <row r="633" spans="2:9" ht="12.75">
      <c r="B633" s="2"/>
      <c r="C633" s="2"/>
      <c r="D633" s="2"/>
      <c r="E633" s="2"/>
      <c r="H633" s="2"/>
      <c r="I633" s="3"/>
    </row>
    <row r="634" spans="2:9" ht="12.75">
      <c r="B634" s="2"/>
      <c r="C634" s="2"/>
      <c r="D634" s="2"/>
      <c r="E634" s="2"/>
      <c r="H634" s="2"/>
      <c r="I634" s="3"/>
    </row>
    <row r="635" spans="2:9" ht="12.75">
      <c r="B635" s="2"/>
      <c r="C635" s="2"/>
      <c r="D635" s="2"/>
      <c r="E635" s="2"/>
      <c r="H635" s="2"/>
      <c r="I635" s="3"/>
    </row>
    <row r="636" spans="2:9" ht="12.75">
      <c r="B636" s="2"/>
      <c r="C636" s="2"/>
      <c r="D636" s="2"/>
      <c r="E636" s="2"/>
      <c r="H636" s="2"/>
      <c r="I636" s="3"/>
    </row>
    <row r="637" spans="2:9" ht="12.75">
      <c r="B637" s="2"/>
      <c r="C637" s="2"/>
      <c r="D637" s="2"/>
      <c r="E637" s="2"/>
      <c r="H637" s="2"/>
      <c r="I637" s="3"/>
    </row>
    <row r="638" spans="2:9" ht="12.75">
      <c r="B638" s="2"/>
      <c r="C638" s="2"/>
      <c r="D638" s="2"/>
      <c r="E638" s="2"/>
      <c r="H638" s="2"/>
      <c r="I638" s="3"/>
    </row>
    <row r="639" spans="2:9" ht="12.75">
      <c r="B639" s="2"/>
      <c r="C639" s="2"/>
      <c r="D639" s="2"/>
      <c r="E639" s="2"/>
      <c r="H639" s="2"/>
      <c r="I639" s="3"/>
    </row>
    <row r="640" spans="2:9" ht="12.75">
      <c r="B640" s="2"/>
      <c r="C640" s="2"/>
      <c r="D640" s="2"/>
      <c r="E640" s="2"/>
      <c r="H640" s="2"/>
      <c r="I640" s="3"/>
    </row>
    <row r="641" spans="2:9" ht="12.75">
      <c r="B641" s="2"/>
      <c r="C641" s="2"/>
      <c r="D641" s="2"/>
      <c r="E641" s="2"/>
      <c r="H641" s="2"/>
      <c r="I641" s="3"/>
    </row>
    <row r="642" spans="2:9" ht="12.75">
      <c r="B642" s="2"/>
      <c r="C642" s="2"/>
      <c r="D642" s="2"/>
      <c r="E642" s="2"/>
      <c r="H642" s="2"/>
      <c r="I642" s="3"/>
    </row>
    <row r="643" spans="2:9" ht="12.75">
      <c r="B643" s="2"/>
      <c r="C643" s="2"/>
      <c r="D643" s="2"/>
      <c r="E643" s="2"/>
      <c r="H643" s="2"/>
      <c r="I643" s="3"/>
    </row>
    <row r="644" spans="2:9" ht="12.75">
      <c r="B644" s="2"/>
      <c r="C644" s="2"/>
      <c r="D644" s="2"/>
      <c r="E644" s="2"/>
      <c r="H644" s="2"/>
      <c r="I644" s="3"/>
    </row>
    <row r="645" spans="2:9" ht="12.75">
      <c r="B645" s="2"/>
      <c r="C645" s="2"/>
      <c r="D645" s="2"/>
      <c r="E645" s="2"/>
      <c r="H645" s="2"/>
      <c r="I645" s="3"/>
    </row>
    <row r="646" spans="2:9" ht="12.75">
      <c r="B646" s="2"/>
      <c r="C646" s="2"/>
      <c r="D646" s="2"/>
      <c r="E646" s="2"/>
      <c r="H646" s="2"/>
      <c r="I646" s="3"/>
    </row>
    <row r="647" spans="2:9" ht="12.75">
      <c r="B647" s="2"/>
      <c r="C647" s="2"/>
      <c r="D647" s="2"/>
      <c r="E647" s="2"/>
      <c r="H647" s="2"/>
      <c r="I647" s="3"/>
    </row>
    <row r="648" spans="2:9" ht="12.75">
      <c r="B648" s="2"/>
      <c r="C648" s="2"/>
      <c r="D648" s="2"/>
      <c r="E648" s="2"/>
      <c r="H648" s="2"/>
      <c r="I648" s="3"/>
    </row>
    <row r="649" spans="2:9" ht="12.75">
      <c r="B649" s="2"/>
      <c r="C649" s="2"/>
      <c r="D649" s="2"/>
      <c r="E649" s="2"/>
      <c r="H649" s="2"/>
      <c r="I649" s="3"/>
    </row>
    <row r="650" spans="2:9" ht="12.75">
      <c r="B650" s="2"/>
      <c r="C650" s="2"/>
      <c r="D650" s="2"/>
      <c r="E650" s="2"/>
      <c r="H650" s="2"/>
      <c r="I650" s="3"/>
    </row>
    <row r="651" spans="2:9" ht="12.75">
      <c r="B651" s="2"/>
      <c r="C651" s="2"/>
      <c r="D651" s="2"/>
      <c r="E651" s="2"/>
      <c r="H651" s="2"/>
      <c r="I651" s="3"/>
    </row>
    <row r="652" spans="2:9" ht="12.75">
      <c r="B652" s="2"/>
      <c r="C652" s="2"/>
      <c r="D652" s="2"/>
      <c r="E652" s="2"/>
      <c r="H652" s="2"/>
      <c r="I652" s="3"/>
    </row>
    <row r="653" spans="2:9" ht="12.75">
      <c r="B653" s="2"/>
      <c r="C653" s="2"/>
      <c r="D653" s="2"/>
      <c r="E653" s="2"/>
      <c r="H653" s="2"/>
      <c r="I653" s="3"/>
    </row>
    <row r="654" spans="2:9" ht="12.75">
      <c r="B654" s="2"/>
      <c r="C654" s="2"/>
      <c r="D654" s="2"/>
      <c r="E654" s="2"/>
      <c r="H654" s="2"/>
      <c r="I654" s="3"/>
    </row>
    <row r="655" spans="2:9" ht="12.75">
      <c r="B655" s="2"/>
      <c r="C655" s="2"/>
      <c r="D655" s="2"/>
      <c r="E655" s="2"/>
      <c r="H655" s="2"/>
      <c r="I655" s="3"/>
    </row>
    <row r="656" spans="2:9" ht="12.75">
      <c r="B656" s="2"/>
      <c r="C656" s="2"/>
      <c r="D656" s="2"/>
      <c r="E656" s="2"/>
      <c r="H656" s="2"/>
      <c r="I656" s="3"/>
    </row>
    <row r="657" spans="2:9" ht="12.75">
      <c r="B657" s="2"/>
      <c r="C657" s="2"/>
      <c r="D657" s="2"/>
      <c r="E657" s="2"/>
      <c r="H657" s="2"/>
      <c r="I657" s="3"/>
    </row>
    <row r="658" spans="2:9" ht="12.75">
      <c r="B658" s="2"/>
      <c r="C658" s="2"/>
      <c r="D658" s="2"/>
      <c r="E658" s="2"/>
      <c r="H658" s="2"/>
      <c r="I658" s="3"/>
    </row>
    <row r="659" spans="2:9" ht="12.75">
      <c r="B659" s="2"/>
      <c r="C659" s="2"/>
      <c r="D659" s="2"/>
      <c r="E659" s="2"/>
      <c r="H659" s="2"/>
      <c r="I659" s="3"/>
    </row>
    <row r="660" spans="2:9" ht="12.75">
      <c r="B660" s="2"/>
      <c r="C660" s="2"/>
      <c r="D660" s="2"/>
      <c r="E660" s="2"/>
      <c r="H660" s="2"/>
      <c r="I660" s="3"/>
    </row>
    <row r="661" spans="2:9" ht="12.75">
      <c r="B661" s="2"/>
      <c r="C661" s="2"/>
      <c r="D661" s="2"/>
      <c r="E661" s="2"/>
      <c r="H661" s="2"/>
      <c r="I661" s="3"/>
    </row>
    <row r="662" spans="2:9" ht="12.75">
      <c r="B662" s="2"/>
      <c r="C662" s="2"/>
      <c r="D662" s="2"/>
      <c r="E662" s="2"/>
      <c r="H662" s="2"/>
      <c r="I662" s="3"/>
    </row>
    <row r="663" spans="2:9" ht="12.75">
      <c r="B663" s="2"/>
      <c r="C663" s="2"/>
      <c r="D663" s="2"/>
      <c r="E663" s="2"/>
      <c r="H663" s="2"/>
      <c r="I663" s="3"/>
    </row>
    <row r="664" spans="2:9" ht="12.75">
      <c r="B664" s="2"/>
      <c r="C664" s="2"/>
      <c r="D664" s="2"/>
      <c r="E664" s="2"/>
      <c r="H664" s="2"/>
      <c r="I664" s="3"/>
    </row>
    <row r="665" spans="2:9" ht="12.75">
      <c r="B665" s="2"/>
      <c r="C665" s="2"/>
      <c r="D665" s="2"/>
      <c r="E665" s="2"/>
      <c r="H665" s="2"/>
      <c r="I665" s="3"/>
    </row>
    <row r="666" spans="2:9" ht="12.75">
      <c r="B666" s="2"/>
      <c r="C666" s="2"/>
      <c r="D666" s="2"/>
      <c r="E666" s="2"/>
      <c r="H666" s="2"/>
      <c r="I666" s="3"/>
    </row>
    <row r="667" spans="2:9" ht="12.75">
      <c r="B667" s="2"/>
      <c r="C667" s="2"/>
      <c r="D667" s="2"/>
      <c r="E667" s="2"/>
      <c r="H667" s="2"/>
      <c r="I667" s="3"/>
    </row>
    <row r="668" spans="2:9" ht="12.75">
      <c r="B668" s="2"/>
      <c r="C668" s="2"/>
      <c r="D668" s="2"/>
      <c r="E668" s="2"/>
      <c r="H668" s="2"/>
      <c r="I668" s="3"/>
    </row>
    <row r="669" spans="2:9" ht="12.75">
      <c r="B669" s="2"/>
      <c r="C669" s="2"/>
      <c r="D669" s="2"/>
      <c r="E669" s="2"/>
      <c r="H669" s="2"/>
      <c r="I669" s="3"/>
    </row>
    <row r="670" spans="2:9" ht="12.75">
      <c r="B670" s="2"/>
      <c r="C670" s="2"/>
      <c r="D670" s="2"/>
      <c r="E670" s="2"/>
      <c r="H670" s="2"/>
      <c r="I670" s="3"/>
    </row>
    <row r="671" spans="2:9" ht="12.75">
      <c r="B671" s="2"/>
      <c r="C671" s="2"/>
      <c r="D671" s="2"/>
      <c r="E671" s="2"/>
      <c r="H671" s="2"/>
      <c r="I671" s="3"/>
    </row>
    <row r="672" spans="2:9" ht="12.75">
      <c r="B672" s="2"/>
      <c r="C672" s="2"/>
      <c r="D672" s="2"/>
      <c r="E672" s="2"/>
      <c r="H672" s="2"/>
      <c r="I672" s="3"/>
    </row>
    <row r="673" spans="2:9" ht="12.75">
      <c r="B673" s="2"/>
      <c r="C673" s="2"/>
      <c r="D673" s="2"/>
      <c r="E673" s="2"/>
      <c r="H673" s="2"/>
      <c r="I673" s="3"/>
    </row>
    <row r="674" spans="2:9" ht="12.75">
      <c r="B674" s="2"/>
      <c r="C674" s="2"/>
      <c r="D674" s="2"/>
      <c r="E674" s="2"/>
      <c r="H674" s="2"/>
      <c r="I674" s="3"/>
    </row>
    <row r="675" spans="2:9" ht="12.75">
      <c r="B675" s="2"/>
      <c r="C675" s="2"/>
      <c r="D675" s="2"/>
      <c r="E675" s="2"/>
      <c r="H675" s="2"/>
      <c r="I675" s="3"/>
    </row>
    <row r="676" spans="2:9" ht="12.75">
      <c r="B676" s="2"/>
      <c r="C676" s="2"/>
      <c r="D676" s="2"/>
      <c r="E676" s="2"/>
      <c r="H676" s="2"/>
      <c r="I676" s="3"/>
    </row>
    <row r="677" spans="2:9" ht="12.75">
      <c r="B677" s="2"/>
      <c r="C677" s="2"/>
      <c r="D677" s="2"/>
      <c r="E677" s="2"/>
      <c r="H677" s="2"/>
      <c r="I677" s="3"/>
    </row>
    <row r="678" spans="2:9" ht="12.75">
      <c r="B678" s="2"/>
      <c r="C678" s="2"/>
      <c r="D678" s="2"/>
      <c r="E678" s="2"/>
      <c r="H678" s="2"/>
      <c r="I678" s="3"/>
    </row>
    <row r="679" spans="2:9" ht="12.75">
      <c r="B679" s="2"/>
      <c r="C679" s="2"/>
      <c r="D679" s="2"/>
      <c r="E679" s="2"/>
      <c r="H679" s="2"/>
      <c r="I679" s="3"/>
    </row>
    <row r="680" spans="2:9" ht="12.75">
      <c r="B680" s="2"/>
      <c r="C680" s="2"/>
      <c r="D680" s="2"/>
      <c r="E680" s="2"/>
      <c r="H680" s="2"/>
      <c r="I680" s="3"/>
    </row>
    <row r="681" spans="2:9" ht="12.75">
      <c r="B681" s="2"/>
      <c r="C681" s="2"/>
      <c r="D681" s="2"/>
      <c r="E681" s="2"/>
      <c r="H681" s="2"/>
      <c r="I681" s="3"/>
    </row>
    <row r="682" spans="2:9" ht="12.75">
      <c r="B682" s="2"/>
      <c r="C682" s="2"/>
      <c r="D682" s="2"/>
      <c r="E682" s="2"/>
      <c r="H682" s="2"/>
      <c r="I682" s="3"/>
    </row>
    <row r="683" spans="2:9" ht="12.75">
      <c r="B683" s="2"/>
      <c r="C683" s="2"/>
      <c r="D683" s="2"/>
      <c r="E683" s="2"/>
      <c r="H683" s="2"/>
      <c r="I683" s="3"/>
    </row>
    <row r="684" spans="2:9" ht="12.75">
      <c r="B684" s="2"/>
      <c r="C684" s="2"/>
      <c r="D684" s="2"/>
      <c r="E684" s="2"/>
      <c r="H684" s="2"/>
      <c r="I684" s="3"/>
    </row>
    <row r="685" spans="2:9" ht="12.75">
      <c r="B685" s="2"/>
      <c r="C685" s="2"/>
      <c r="D685" s="2"/>
      <c r="E685" s="2"/>
      <c r="H685" s="2"/>
      <c r="I685" s="3"/>
    </row>
    <row r="686" spans="2:9" ht="12.75">
      <c r="B686" s="2"/>
      <c r="C686" s="2"/>
      <c r="D686" s="2"/>
      <c r="E686" s="2"/>
      <c r="H686" s="2"/>
      <c r="I686" s="3"/>
    </row>
    <row r="687" spans="2:9" ht="12.75">
      <c r="B687" s="2"/>
      <c r="C687" s="2"/>
      <c r="D687" s="2"/>
      <c r="E687" s="2"/>
      <c r="H687" s="2"/>
      <c r="I687" s="3"/>
    </row>
    <row r="688" spans="2:9" ht="12.75">
      <c r="B688" s="2"/>
      <c r="C688" s="2"/>
      <c r="D688" s="2"/>
      <c r="E688" s="2"/>
      <c r="H688" s="2"/>
      <c r="I688" s="3"/>
    </row>
    <row r="689" spans="2:9" ht="12.75">
      <c r="B689" s="2"/>
      <c r="C689" s="2"/>
      <c r="D689" s="2"/>
      <c r="E689" s="2"/>
      <c r="H689" s="2"/>
      <c r="I689" s="3"/>
    </row>
    <row r="690" spans="2:9" ht="12.75">
      <c r="B690" s="2"/>
      <c r="C690" s="2"/>
      <c r="D690" s="2"/>
      <c r="E690" s="2"/>
      <c r="H690" s="2"/>
      <c r="I690" s="3"/>
    </row>
    <row r="691" spans="2:9" ht="12.75">
      <c r="B691" s="2"/>
      <c r="C691" s="2"/>
      <c r="D691" s="2"/>
      <c r="E691" s="2"/>
      <c r="H691" s="2"/>
      <c r="I691" s="3"/>
    </row>
    <row r="692" spans="2:9" ht="12.75">
      <c r="B692" s="2"/>
      <c r="C692" s="2"/>
      <c r="D692" s="2"/>
      <c r="E692" s="2"/>
      <c r="H692" s="2"/>
      <c r="I692" s="3"/>
    </row>
    <row r="693" spans="2:9" ht="12.75">
      <c r="B693" s="2"/>
      <c r="C693" s="2"/>
      <c r="D693" s="2"/>
      <c r="E693" s="2"/>
      <c r="H693" s="2"/>
      <c r="I693" s="3"/>
    </row>
    <row r="694" spans="2:9" ht="12.75">
      <c r="B694" s="2"/>
      <c r="C694" s="2"/>
      <c r="D694" s="2"/>
      <c r="E694" s="2"/>
      <c r="H694" s="2"/>
      <c r="I694" s="3"/>
    </row>
    <row r="695" spans="2:9" ht="12.75">
      <c r="B695" s="2"/>
      <c r="C695" s="2"/>
      <c r="D695" s="2"/>
      <c r="E695" s="2"/>
      <c r="H695" s="2"/>
      <c r="I695" s="3"/>
    </row>
    <row r="696" spans="2:9" ht="12.75">
      <c r="B696" s="2"/>
      <c r="C696" s="2"/>
      <c r="D696" s="2"/>
      <c r="E696" s="2"/>
      <c r="H696" s="2"/>
      <c r="I696" s="3"/>
    </row>
    <row r="697" spans="2:9" ht="12.75">
      <c r="B697" s="2"/>
      <c r="C697" s="2"/>
      <c r="D697" s="2"/>
      <c r="E697" s="2"/>
      <c r="H697" s="2"/>
      <c r="I697" s="3"/>
    </row>
    <row r="698" spans="2:9" ht="12.75">
      <c r="B698" s="2"/>
      <c r="C698" s="2"/>
      <c r="D698" s="2"/>
      <c r="E698" s="2"/>
      <c r="H698" s="2"/>
      <c r="I698" s="3"/>
    </row>
    <row r="699" spans="2:9" ht="12.75">
      <c r="B699" s="2"/>
      <c r="C699" s="2"/>
      <c r="D699" s="2"/>
      <c r="E699" s="2"/>
      <c r="H699" s="2"/>
      <c r="I699" s="3"/>
    </row>
    <row r="700" spans="2:9" ht="12.75">
      <c r="B700" s="2"/>
      <c r="C700" s="2"/>
      <c r="D700" s="2"/>
      <c r="E700" s="2"/>
      <c r="H700" s="2"/>
      <c r="I700" s="3"/>
    </row>
    <row r="701" spans="2:9" ht="12.75">
      <c r="B701" s="2"/>
      <c r="C701" s="2"/>
      <c r="D701" s="2"/>
      <c r="E701" s="2"/>
      <c r="H701" s="2"/>
      <c r="I701" s="3"/>
    </row>
    <row r="702" spans="2:9" ht="12.75">
      <c r="B702" s="2"/>
      <c r="C702" s="2"/>
      <c r="D702" s="2"/>
      <c r="E702" s="2"/>
      <c r="H702" s="2"/>
      <c r="I702" s="3"/>
    </row>
    <row r="703" spans="2:9" ht="12.75">
      <c r="B703" s="2"/>
      <c r="C703" s="2"/>
      <c r="D703" s="2"/>
      <c r="E703" s="2"/>
      <c r="H703" s="2"/>
      <c r="I703" s="3"/>
    </row>
    <row r="704" spans="2:9" ht="12.75">
      <c r="B704" s="2"/>
      <c r="C704" s="2"/>
      <c r="D704" s="2"/>
      <c r="E704" s="2"/>
      <c r="H704" s="2"/>
      <c r="I704" s="3"/>
    </row>
    <row r="705" spans="2:9" ht="12.75">
      <c r="B705" s="2"/>
      <c r="C705" s="2"/>
      <c r="D705" s="2"/>
      <c r="E705" s="2"/>
      <c r="H705" s="2"/>
      <c r="I705" s="3"/>
    </row>
    <row r="706" spans="2:9" ht="12.75">
      <c r="B706" s="2"/>
      <c r="C706" s="2"/>
      <c r="D706" s="2"/>
      <c r="E706" s="2"/>
      <c r="H706" s="2"/>
      <c r="I706" s="3"/>
    </row>
    <row r="707" spans="2:9" ht="12.75">
      <c r="B707" s="2"/>
      <c r="C707" s="2"/>
      <c r="D707" s="2"/>
      <c r="E707" s="2"/>
      <c r="H707" s="2"/>
      <c r="I707" s="3"/>
    </row>
    <row r="708" spans="2:9" ht="12.75">
      <c r="B708" s="2"/>
      <c r="C708" s="2"/>
      <c r="D708" s="2"/>
      <c r="E708" s="2"/>
      <c r="H708" s="2"/>
      <c r="I708" s="3"/>
    </row>
    <row r="709" spans="2:9" ht="12.75">
      <c r="B709" s="2"/>
      <c r="C709" s="2"/>
      <c r="D709" s="2"/>
      <c r="E709" s="2"/>
      <c r="H709" s="2"/>
      <c r="I709" s="3"/>
    </row>
    <row r="710" spans="2:9" ht="12.75">
      <c r="B710" s="2"/>
      <c r="C710" s="2"/>
      <c r="D710" s="2"/>
      <c r="E710" s="2"/>
      <c r="H710" s="2"/>
      <c r="I710" s="3"/>
    </row>
    <row r="711" spans="2:9" ht="12.75">
      <c r="B711" s="2"/>
      <c r="C711" s="2"/>
      <c r="D711" s="2"/>
      <c r="E711" s="2"/>
      <c r="H711" s="2"/>
      <c r="I711" s="3"/>
    </row>
    <row r="712" spans="2:9" ht="12.75">
      <c r="B712" s="2"/>
      <c r="C712" s="2"/>
      <c r="D712" s="2"/>
      <c r="E712" s="2"/>
      <c r="H712" s="2"/>
      <c r="I712" s="3"/>
    </row>
    <row r="713" spans="2:9" ht="12.75">
      <c r="B713" s="2"/>
      <c r="C713" s="2"/>
      <c r="D713" s="2"/>
      <c r="E713" s="2"/>
      <c r="H713" s="2"/>
      <c r="I713" s="3"/>
    </row>
    <row r="714" spans="2:9" ht="12.75">
      <c r="B714" s="2"/>
      <c r="C714" s="2"/>
      <c r="D714" s="2"/>
      <c r="E714" s="2"/>
      <c r="H714" s="2"/>
      <c r="I714" s="3"/>
    </row>
    <row r="715" spans="2:9" ht="12.75">
      <c r="B715" s="2"/>
      <c r="C715" s="2"/>
      <c r="D715" s="2"/>
      <c r="E715" s="2"/>
      <c r="H715" s="2"/>
      <c r="I715" s="3"/>
    </row>
    <row r="716" spans="2:9" ht="12.75">
      <c r="B716" s="2"/>
      <c r="C716" s="2"/>
      <c r="D716" s="2"/>
      <c r="E716" s="2"/>
      <c r="H716" s="2"/>
      <c r="I716" s="3"/>
    </row>
    <row r="717" spans="2:9" ht="12.75">
      <c r="B717" s="2"/>
      <c r="C717" s="2"/>
      <c r="D717" s="2"/>
      <c r="E717" s="2"/>
      <c r="H717" s="2"/>
      <c r="I717" s="3"/>
    </row>
    <row r="718" spans="2:9" ht="12.75">
      <c r="B718" s="2"/>
      <c r="C718" s="2"/>
      <c r="D718" s="2"/>
      <c r="E718" s="2"/>
      <c r="H718" s="2"/>
      <c r="I718" s="3"/>
    </row>
    <row r="719" spans="2:9" ht="12.75">
      <c r="B719" s="2"/>
      <c r="C719" s="2"/>
      <c r="D719" s="2"/>
      <c r="E719" s="2"/>
      <c r="H719" s="2"/>
      <c r="I719" s="3"/>
    </row>
    <row r="720" spans="2:9" ht="12.75">
      <c r="B720" s="2"/>
      <c r="C720" s="2"/>
      <c r="D720" s="2"/>
      <c r="E720" s="2"/>
      <c r="H720" s="2"/>
      <c r="I720" s="3"/>
    </row>
    <row r="721" spans="2:9" ht="12.75">
      <c r="B721" s="2"/>
      <c r="C721" s="2"/>
      <c r="D721" s="2"/>
      <c r="E721" s="2"/>
      <c r="H721" s="2"/>
      <c r="I721" s="3"/>
    </row>
    <row r="722" spans="2:9" ht="12.75">
      <c r="B722" s="2"/>
      <c r="C722" s="2"/>
      <c r="D722" s="2"/>
      <c r="E722" s="2"/>
      <c r="H722" s="2"/>
      <c r="I722" s="3"/>
    </row>
    <row r="723" spans="2:9" ht="12.75">
      <c r="B723" s="2"/>
      <c r="C723" s="2"/>
      <c r="D723" s="2"/>
      <c r="E723" s="2"/>
      <c r="H723" s="2"/>
      <c r="I723" s="3"/>
    </row>
    <row r="724" spans="2:9" ht="12.75">
      <c r="B724" s="2"/>
      <c r="C724" s="2"/>
      <c r="D724" s="2"/>
      <c r="E724" s="2"/>
      <c r="H724" s="2"/>
      <c r="I724" s="3"/>
    </row>
    <row r="725" spans="2:9" ht="12.75">
      <c r="B725" s="2"/>
      <c r="C725" s="2"/>
      <c r="D725" s="2"/>
      <c r="E725" s="2"/>
      <c r="H725" s="2"/>
      <c r="I725" s="3"/>
    </row>
    <row r="726" spans="2:9" ht="12.75">
      <c r="B726" s="2"/>
      <c r="C726" s="2"/>
      <c r="D726" s="2"/>
      <c r="E726" s="2"/>
      <c r="H726" s="2"/>
      <c r="I726" s="3"/>
    </row>
    <row r="727" spans="2:9" ht="12.75">
      <c r="B727" s="2"/>
      <c r="C727" s="2"/>
      <c r="D727" s="2"/>
      <c r="E727" s="2"/>
      <c r="H727" s="2"/>
      <c r="I727" s="3"/>
    </row>
    <row r="728" spans="2:9" ht="12.75">
      <c r="B728" s="2"/>
      <c r="C728" s="2"/>
      <c r="D728" s="2"/>
      <c r="E728" s="2"/>
      <c r="H728" s="2"/>
      <c r="I728" s="3"/>
    </row>
    <row r="729" spans="2:9" ht="12.75">
      <c r="B729" s="2"/>
      <c r="C729" s="2"/>
      <c r="D729" s="2"/>
      <c r="E729" s="2"/>
      <c r="H729" s="2"/>
      <c r="I729" s="3"/>
    </row>
    <row r="730" spans="2:9" ht="12.75">
      <c r="B730" s="2"/>
      <c r="C730" s="2"/>
      <c r="D730" s="2"/>
      <c r="E730" s="2"/>
      <c r="H730" s="2"/>
      <c r="I730" s="3"/>
    </row>
    <row r="731" spans="2:9" ht="12.75">
      <c r="B731" s="2"/>
      <c r="C731" s="2"/>
      <c r="D731" s="2"/>
      <c r="E731" s="2"/>
      <c r="H731" s="2"/>
      <c r="I731" s="3"/>
    </row>
    <row r="732" spans="2:9" ht="12.75">
      <c r="B732" s="2"/>
      <c r="C732" s="2"/>
      <c r="D732" s="2"/>
      <c r="E732" s="2"/>
      <c r="H732" s="2"/>
      <c r="I732" s="3"/>
    </row>
    <row r="733" spans="2:9" ht="12.75">
      <c r="B733" s="2"/>
      <c r="C733" s="2"/>
      <c r="D733" s="2"/>
      <c r="E733" s="2"/>
      <c r="H733" s="2"/>
      <c r="I733" s="3"/>
    </row>
    <row r="734" spans="2:9" ht="12.75">
      <c r="B734" s="2"/>
      <c r="C734" s="2"/>
      <c r="D734" s="2"/>
      <c r="E734" s="2"/>
      <c r="H734" s="2"/>
      <c r="I734" s="3"/>
    </row>
    <row r="735" spans="2:9" ht="12.75">
      <c r="B735" s="2"/>
      <c r="C735" s="2"/>
      <c r="D735" s="2"/>
      <c r="E735" s="2"/>
      <c r="H735" s="2"/>
      <c r="I735" s="3"/>
    </row>
    <row r="736" spans="2:9" ht="12.75">
      <c r="B736" s="2"/>
      <c r="C736" s="2"/>
      <c r="D736" s="2"/>
      <c r="E736" s="2"/>
      <c r="H736" s="2"/>
      <c r="I736" s="3"/>
    </row>
    <row r="737" spans="2:9" ht="12.75">
      <c r="B737" s="2"/>
      <c r="C737" s="2"/>
      <c r="D737" s="2"/>
      <c r="E737" s="2"/>
      <c r="H737" s="2"/>
      <c r="I737" s="3"/>
    </row>
    <row r="738" spans="2:9" ht="12.75">
      <c r="B738" s="2"/>
      <c r="C738" s="2"/>
      <c r="D738" s="2"/>
      <c r="E738" s="2"/>
      <c r="H738" s="2"/>
      <c r="I738" s="3"/>
    </row>
    <row r="739" spans="2:9" ht="12.75">
      <c r="B739" s="2"/>
      <c r="C739" s="2"/>
      <c r="D739" s="2"/>
      <c r="E739" s="2"/>
      <c r="H739" s="2"/>
      <c r="I739" s="3"/>
    </row>
    <row r="740" spans="2:9" ht="12.75">
      <c r="B740" s="2"/>
      <c r="C740" s="2"/>
      <c r="D740" s="2"/>
      <c r="E740" s="2"/>
      <c r="H740" s="2"/>
      <c r="I740" s="3"/>
    </row>
    <row r="741" spans="2:9" ht="12.75">
      <c r="B741" s="2"/>
      <c r="C741" s="2"/>
      <c r="D741" s="2"/>
      <c r="E741" s="2"/>
      <c r="H741" s="2"/>
      <c r="I741" s="3"/>
    </row>
    <row r="742" spans="2:9" ht="12.75">
      <c r="B742" s="2"/>
      <c r="C742" s="2"/>
      <c r="D742" s="2"/>
      <c r="E742" s="2"/>
      <c r="H742" s="2"/>
      <c r="I742" s="3"/>
    </row>
    <row r="743" spans="2:9" ht="12.75">
      <c r="B743" s="2"/>
      <c r="C743" s="2"/>
      <c r="D743" s="2"/>
      <c r="E743" s="2"/>
      <c r="H743" s="2"/>
      <c r="I743" s="3"/>
    </row>
    <row r="744" spans="2:9" ht="12.75">
      <c r="B744" s="2"/>
      <c r="C744" s="2"/>
      <c r="D744" s="2"/>
      <c r="E744" s="2"/>
      <c r="H744" s="2"/>
      <c r="I744" s="3"/>
    </row>
    <row r="745" spans="2:9" ht="12.75">
      <c r="B745" s="2"/>
      <c r="C745" s="2"/>
      <c r="D745" s="2"/>
      <c r="E745" s="2"/>
      <c r="H745" s="2"/>
      <c r="I745" s="3"/>
    </row>
    <row r="746" spans="2:9" ht="12.75">
      <c r="B746" s="2"/>
      <c r="C746" s="2"/>
      <c r="D746" s="2"/>
      <c r="E746" s="2"/>
      <c r="H746" s="2"/>
      <c r="I746" s="3"/>
    </row>
    <row r="747" spans="2:9" ht="12.75">
      <c r="B747" s="2"/>
      <c r="C747" s="2"/>
      <c r="D747" s="2"/>
      <c r="E747" s="2"/>
      <c r="H747" s="2"/>
      <c r="I747" s="3"/>
    </row>
    <row r="748" spans="2:9" ht="12.75">
      <c r="B748" s="2"/>
      <c r="C748" s="2"/>
      <c r="D748" s="2"/>
      <c r="E748" s="2"/>
      <c r="H748" s="2"/>
      <c r="I748" s="3"/>
    </row>
    <row r="749" spans="2:9" ht="12.75">
      <c r="B749" s="2"/>
      <c r="C749" s="2"/>
      <c r="D749" s="2"/>
      <c r="E749" s="2"/>
      <c r="H749" s="2"/>
      <c r="I749" s="3"/>
    </row>
    <row r="750" spans="2:9" ht="12.75">
      <c r="B750" s="2"/>
      <c r="C750" s="2"/>
      <c r="D750" s="2"/>
      <c r="E750" s="2"/>
      <c r="H750" s="2"/>
      <c r="I750" s="3"/>
    </row>
    <row r="751" spans="2:9" ht="12.75">
      <c r="B751" s="2"/>
      <c r="C751" s="2"/>
      <c r="D751" s="2"/>
      <c r="E751" s="2"/>
      <c r="H751" s="2"/>
      <c r="I751" s="3"/>
    </row>
    <row r="752" spans="2:9" ht="12.75">
      <c r="B752" s="2"/>
      <c r="C752" s="2"/>
      <c r="D752" s="2"/>
      <c r="E752" s="2"/>
      <c r="H752" s="2"/>
      <c r="I752" s="3"/>
    </row>
    <row r="753" spans="2:9" ht="12.75">
      <c r="B753" s="2"/>
      <c r="C753" s="2"/>
      <c r="D753" s="2"/>
      <c r="E753" s="2"/>
      <c r="H753" s="2"/>
      <c r="I753" s="3"/>
    </row>
    <row r="754" spans="2:9" ht="12.75">
      <c r="B754" s="2"/>
      <c r="C754" s="2"/>
      <c r="D754" s="2"/>
      <c r="E754" s="2"/>
      <c r="H754" s="2"/>
      <c r="I754" s="3"/>
    </row>
    <row r="755" spans="2:9" ht="12.75">
      <c r="B755" s="2"/>
      <c r="C755" s="2"/>
      <c r="D755" s="2"/>
      <c r="E755" s="2"/>
      <c r="H755" s="2"/>
      <c r="I755" s="3"/>
    </row>
    <row r="756" spans="2:9" ht="12.75">
      <c r="B756" s="2"/>
      <c r="C756" s="2"/>
      <c r="D756" s="2"/>
      <c r="E756" s="2"/>
      <c r="H756" s="2"/>
      <c r="I756" s="3"/>
    </row>
    <row r="757" spans="2:9" ht="12.75">
      <c r="B757" s="2"/>
      <c r="C757" s="2"/>
      <c r="D757" s="2"/>
      <c r="E757" s="2"/>
      <c r="H757" s="2"/>
      <c r="I757" s="3"/>
    </row>
    <row r="758" spans="2:9" ht="12.75">
      <c r="B758" s="2"/>
      <c r="C758" s="2"/>
      <c r="D758" s="2"/>
      <c r="E758" s="2"/>
      <c r="H758" s="2"/>
      <c r="I758" s="3"/>
    </row>
    <row r="759" spans="2:9" ht="12.75">
      <c r="B759" s="2"/>
      <c r="C759" s="2"/>
      <c r="D759" s="2"/>
      <c r="E759" s="2"/>
      <c r="H759" s="2"/>
      <c r="I759" s="3"/>
    </row>
    <row r="760" spans="2:9" ht="12.75">
      <c r="B760" s="2"/>
      <c r="C760" s="2"/>
      <c r="D760" s="2"/>
      <c r="E760" s="2"/>
      <c r="H760" s="2"/>
      <c r="I760" s="3"/>
    </row>
    <row r="761" spans="2:9" ht="12.75">
      <c r="B761" s="2"/>
      <c r="C761" s="2"/>
      <c r="D761" s="2"/>
      <c r="E761" s="2"/>
      <c r="H761" s="2"/>
      <c r="I761" s="3"/>
    </row>
    <row r="762" spans="2:9" ht="12.75">
      <c r="B762" s="2"/>
      <c r="C762" s="2"/>
      <c r="D762" s="2"/>
      <c r="E762" s="2"/>
      <c r="H762" s="2"/>
      <c r="I762" s="3"/>
    </row>
    <row r="763" spans="2:9" ht="12.75">
      <c r="B763" s="2"/>
      <c r="C763" s="2"/>
      <c r="D763" s="2"/>
      <c r="E763" s="2"/>
      <c r="H763" s="2"/>
      <c r="I763" s="3"/>
    </row>
    <row r="764" spans="2:9" ht="12.75">
      <c r="B764" s="2"/>
      <c r="C764" s="2"/>
      <c r="D764" s="2"/>
      <c r="E764" s="2"/>
      <c r="H764" s="2"/>
      <c r="I764" s="3"/>
    </row>
    <row r="765" spans="2:9" ht="12.75">
      <c r="B765" s="2"/>
      <c r="C765" s="2"/>
      <c r="D765" s="2"/>
      <c r="E765" s="2"/>
      <c r="H765" s="2"/>
      <c r="I765" s="3"/>
    </row>
    <row r="766" spans="2:9" ht="12.75">
      <c r="B766" s="2"/>
      <c r="C766" s="2"/>
      <c r="D766" s="2"/>
      <c r="E766" s="2"/>
      <c r="H766" s="2"/>
      <c r="I766" s="3"/>
    </row>
    <row r="767" spans="2:9" ht="12.75">
      <c r="B767" s="2"/>
      <c r="C767" s="2"/>
      <c r="D767" s="2"/>
      <c r="E767" s="2"/>
      <c r="H767" s="2"/>
      <c r="I767" s="3"/>
    </row>
    <row r="768" spans="2:9" ht="12.75">
      <c r="B768" s="2"/>
      <c r="C768" s="2"/>
      <c r="D768" s="2"/>
      <c r="E768" s="2"/>
      <c r="H768" s="2"/>
      <c r="I768" s="3"/>
    </row>
    <row r="769" spans="2:9" ht="12.75">
      <c r="B769" s="2"/>
      <c r="C769" s="2"/>
      <c r="D769" s="2"/>
      <c r="E769" s="2"/>
      <c r="H769" s="2"/>
      <c r="I769" s="3"/>
    </row>
    <row r="770" spans="2:9" ht="12.75">
      <c r="B770" s="2"/>
      <c r="C770" s="2"/>
      <c r="D770" s="2"/>
      <c r="E770" s="2"/>
      <c r="H770" s="2"/>
      <c r="I770" s="3"/>
    </row>
    <row r="771" spans="2:9" ht="12.75">
      <c r="B771" s="2"/>
      <c r="C771" s="2"/>
      <c r="D771" s="2"/>
      <c r="E771" s="2"/>
      <c r="H771" s="2"/>
      <c r="I771" s="3"/>
    </row>
    <row r="772" spans="2:9" ht="12.75">
      <c r="B772" s="2"/>
      <c r="C772" s="2"/>
      <c r="D772" s="2"/>
      <c r="E772" s="2"/>
      <c r="H772" s="2"/>
      <c r="I772" s="3"/>
    </row>
    <row r="773" spans="2:9" ht="12.75">
      <c r="B773" s="2"/>
      <c r="C773" s="2"/>
      <c r="D773" s="2"/>
      <c r="E773" s="2"/>
      <c r="H773" s="2"/>
      <c r="I773" s="3"/>
    </row>
    <row r="774" spans="2:9" ht="12.75">
      <c r="B774" s="2"/>
      <c r="C774" s="2"/>
      <c r="D774" s="2"/>
      <c r="E774" s="2"/>
      <c r="H774" s="2"/>
      <c r="I774" s="3"/>
    </row>
    <row r="775" spans="2:9" ht="12.75">
      <c r="B775" s="2"/>
      <c r="C775" s="2"/>
      <c r="D775" s="2"/>
      <c r="E775" s="2"/>
      <c r="H775" s="2"/>
      <c r="I775" s="3"/>
    </row>
    <row r="776" spans="2:9" ht="12.75">
      <c r="B776" s="2"/>
      <c r="C776" s="2"/>
      <c r="D776" s="2"/>
      <c r="E776" s="2"/>
      <c r="H776" s="2"/>
      <c r="I776" s="3"/>
    </row>
    <row r="777" spans="2:9" ht="12.75">
      <c r="B777" s="2"/>
      <c r="C777" s="2"/>
      <c r="D777" s="2"/>
      <c r="E777" s="2"/>
      <c r="H777" s="2"/>
      <c r="I777" s="3"/>
    </row>
    <row r="778" spans="2:9" ht="12.75">
      <c r="B778" s="2"/>
      <c r="C778" s="2"/>
      <c r="D778" s="2"/>
      <c r="E778" s="2"/>
      <c r="H778" s="2"/>
      <c r="I778" s="3"/>
    </row>
    <row r="779" spans="2:9" ht="12.75">
      <c r="B779" s="2"/>
      <c r="C779" s="2"/>
      <c r="D779" s="2"/>
      <c r="E779" s="2"/>
      <c r="H779" s="2"/>
      <c r="I779" s="3"/>
    </row>
    <row r="780" spans="2:9" ht="12.75">
      <c r="B780" s="2"/>
      <c r="C780" s="2"/>
      <c r="D780" s="2"/>
      <c r="E780" s="2"/>
      <c r="H780" s="2"/>
      <c r="I780" s="3"/>
    </row>
    <row r="781" spans="2:9" ht="12.75">
      <c r="B781" s="2"/>
      <c r="C781" s="2"/>
      <c r="D781" s="2"/>
      <c r="E781" s="2"/>
      <c r="H781" s="2"/>
      <c r="I781" s="3"/>
    </row>
    <row r="782" spans="2:9" ht="12.75">
      <c r="B782" s="2"/>
      <c r="C782" s="2"/>
      <c r="D782" s="2"/>
      <c r="E782" s="2"/>
      <c r="H782" s="2"/>
      <c r="I782" s="3"/>
    </row>
    <row r="783" spans="2:9" ht="12.75">
      <c r="B783" s="2"/>
      <c r="C783" s="2"/>
      <c r="D783" s="2"/>
      <c r="E783" s="2"/>
      <c r="H783" s="2"/>
      <c r="I783" s="3"/>
    </row>
    <row r="784" spans="2:9" ht="12.75">
      <c r="B784" s="2"/>
      <c r="C784" s="2"/>
      <c r="D784" s="2"/>
      <c r="E784" s="2"/>
      <c r="H784" s="2"/>
      <c r="I784" s="3"/>
    </row>
    <row r="785" spans="2:9" ht="12.75">
      <c r="B785" s="2"/>
      <c r="C785" s="2"/>
      <c r="D785" s="2"/>
      <c r="E785" s="2"/>
      <c r="H785" s="2"/>
      <c r="I785" s="3"/>
    </row>
    <row r="786" spans="2:9" ht="12.75">
      <c r="B786" s="2"/>
      <c r="C786" s="2"/>
      <c r="D786" s="2"/>
      <c r="E786" s="2"/>
      <c r="H786" s="2"/>
      <c r="I786" s="3"/>
    </row>
    <row r="787" spans="2:9" ht="12.75">
      <c r="B787" s="2"/>
      <c r="C787" s="2"/>
      <c r="D787" s="2"/>
      <c r="E787" s="2"/>
      <c r="H787" s="2"/>
      <c r="I787" s="3"/>
    </row>
    <row r="788" spans="2:9" ht="12.75">
      <c r="B788" s="2"/>
      <c r="C788" s="2"/>
      <c r="D788" s="2"/>
      <c r="E788" s="2"/>
      <c r="H788" s="2"/>
      <c r="I788" s="3"/>
    </row>
    <row r="789" spans="2:9" ht="12.75">
      <c r="B789" s="2"/>
      <c r="C789" s="2"/>
      <c r="D789" s="2"/>
      <c r="E789" s="2"/>
      <c r="H789" s="2"/>
      <c r="I789" s="3"/>
    </row>
    <row r="790" spans="2:9" ht="12.75">
      <c r="B790" s="2"/>
      <c r="C790" s="2"/>
      <c r="D790" s="2"/>
      <c r="E790" s="2"/>
      <c r="H790" s="2"/>
      <c r="I790" s="3"/>
    </row>
    <row r="791" spans="2:9" ht="12.75">
      <c r="B791" s="2"/>
      <c r="C791" s="2"/>
      <c r="D791" s="2"/>
      <c r="E791" s="2"/>
      <c r="H791" s="2"/>
      <c r="I791" s="3"/>
    </row>
    <row r="792" spans="2:9" ht="12.75">
      <c r="B792" s="2"/>
      <c r="C792" s="2"/>
      <c r="D792" s="2"/>
      <c r="E792" s="2"/>
      <c r="H792" s="2"/>
      <c r="I792" s="3"/>
    </row>
    <row r="793" spans="2:9" ht="12.75">
      <c r="B793" s="2"/>
      <c r="C793" s="2"/>
      <c r="D793" s="2"/>
      <c r="E793" s="2"/>
      <c r="H793" s="2"/>
      <c r="I793" s="3"/>
    </row>
    <row r="794" spans="2:9" ht="12.75">
      <c r="B794" s="2"/>
      <c r="C794" s="2"/>
      <c r="D794" s="2"/>
      <c r="E794" s="2"/>
      <c r="H794" s="2"/>
      <c r="I794" s="3"/>
    </row>
    <row r="795" spans="2:9" ht="12.75">
      <c r="B795" s="2"/>
      <c r="C795" s="2"/>
      <c r="D795" s="2"/>
      <c r="E795" s="2"/>
      <c r="H795" s="2"/>
      <c r="I795" s="3"/>
    </row>
    <row r="796" spans="2:9" ht="12.75">
      <c r="B796" s="2"/>
      <c r="C796" s="2"/>
      <c r="D796" s="2"/>
      <c r="E796" s="2"/>
      <c r="H796" s="2"/>
      <c r="I796" s="3"/>
    </row>
    <row r="797" spans="2:9" ht="12.75">
      <c r="B797" s="2"/>
      <c r="C797" s="2"/>
      <c r="D797" s="2"/>
      <c r="E797" s="2"/>
      <c r="H797" s="2"/>
      <c r="I797" s="3"/>
    </row>
    <row r="798" spans="2:9" ht="12.75">
      <c r="B798" s="2"/>
      <c r="C798" s="2"/>
      <c r="D798" s="2"/>
      <c r="E798" s="2"/>
      <c r="H798" s="2"/>
      <c r="I798" s="3"/>
    </row>
    <row r="799" spans="2:9" ht="12.75">
      <c r="B799" s="2"/>
      <c r="C799" s="2"/>
      <c r="D799" s="2"/>
      <c r="E799" s="2"/>
      <c r="H799" s="2"/>
      <c r="I799" s="3"/>
    </row>
    <row r="800" spans="2:9" ht="12.75">
      <c r="B800" s="2"/>
      <c r="C800" s="2"/>
      <c r="D800" s="2"/>
      <c r="E800" s="2"/>
      <c r="H800" s="2"/>
      <c r="I800" s="3"/>
    </row>
    <row r="801" spans="2:9" ht="12.75">
      <c r="B801" s="2"/>
      <c r="C801" s="2"/>
      <c r="D801" s="2"/>
      <c r="E801" s="2"/>
      <c r="H801" s="2"/>
      <c r="I801" s="3"/>
    </row>
    <row r="802" spans="2:9" ht="12.75">
      <c r="B802" s="2"/>
      <c r="C802" s="2"/>
      <c r="D802" s="2"/>
      <c r="E802" s="2"/>
      <c r="H802" s="2"/>
      <c r="I802" s="3"/>
    </row>
    <row r="803" spans="2:9" ht="12.75">
      <c r="B803" s="2"/>
      <c r="C803" s="2"/>
      <c r="D803" s="2"/>
      <c r="E803" s="2"/>
      <c r="H803" s="2"/>
      <c r="I803" s="3"/>
    </row>
    <row r="804" spans="2:9" ht="12.75">
      <c r="B804" s="2"/>
      <c r="C804" s="2"/>
      <c r="D804" s="2"/>
      <c r="E804" s="2"/>
      <c r="H804" s="2"/>
      <c r="I804" s="3"/>
    </row>
    <row r="805" spans="2:9" ht="12.75">
      <c r="B805" s="2"/>
      <c r="C805" s="2"/>
      <c r="D805" s="2"/>
      <c r="E805" s="2"/>
      <c r="H805" s="2"/>
      <c r="I805" s="3"/>
    </row>
    <row r="806" spans="2:9" ht="12.75">
      <c r="B806" s="2"/>
      <c r="C806" s="2"/>
      <c r="D806" s="2"/>
      <c r="E806" s="2"/>
      <c r="H806" s="2"/>
      <c r="I806" s="3"/>
    </row>
    <row r="807" spans="2:9" ht="12.75">
      <c r="B807" s="2"/>
      <c r="C807" s="2"/>
      <c r="D807" s="2"/>
      <c r="E807" s="2"/>
      <c r="H807" s="2"/>
      <c r="I807" s="3"/>
    </row>
    <row r="808" spans="2:9" ht="12.75">
      <c r="B808" s="2"/>
      <c r="C808" s="2"/>
      <c r="D808" s="2"/>
      <c r="E808" s="2"/>
      <c r="H808" s="2"/>
      <c r="I808" s="3"/>
    </row>
    <row r="809" spans="2:9" ht="12.75">
      <c r="B809" s="2"/>
      <c r="C809" s="2"/>
      <c r="D809" s="2"/>
      <c r="E809" s="2"/>
      <c r="H809" s="2"/>
      <c r="I809" s="3"/>
    </row>
    <row r="810" spans="2:9" ht="12.75">
      <c r="B810" s="2"/>
      <c r="C810" s="2"/>
      <c r="D810" s="2"/>
      <c r="E810" s="2"/>
      <c r="H810" s="2"/>
      <c r="I810" s="3"/>
    </row>
    <row r="811" spans="2:9" ht="12.75">
      <c r="B811" s="2"/>
      <c r="C811" s="2"/>
      <c r="D811" s="2"/>
      <c r="E811" s="2"/>
      <c r="H811" s="2"/>
      <c r="I811" s="3"/>
    </row>
    <row r="812" spans="2:9" ht="12.75">
      <c r="B812" s="2"/>
      <c r="C812" s="2"/>
      <c r="D812" s="2"/>
      <c r="E812" s="2"/>
      <c r="H812" s="2"/>
      <c r="I812" s="3"/>
    </row>
    <row r="813" spans="2:9" ht="12.75">
      <c r="B813" s="2"/>
      <c r="C813" s="2"/>
      <c r="D813" s="2"/>
      <c r="E813" s="2"/>
      <c r="H813" s="2"/>
      <c r="I813" s="3"/>
    </row>
    <row r="814" spans="2:9" ht="12.75">
      <c r="B814" s="2"/>
      <c r="C814" s="2"/>
      <c r="D814" s="2"/>
      <c r="E814" s="2"/>
      <c r="H814" s="2"/>
      <c r="I814" s="3"/>
    </row>
    <row r="815" spans="2:9" ht="12.75">
      <c r="B815" s="2"/>
      <c r="C815" s="2"/>
      <c r="D815" s="2"/>
      <c r="E815" s="2"/>
      <c r="H815" s="2"/>
      <c r="I815" s="3"/>
    </row>
    <row r="816" spans="2:9" ht="12.75">
      <c r="B816" s="2"/>
      <c r="C816" s="2"/>
      <c r="D816" s="2"/>
      <c r="E816" s="2"/>
      <c r="H816" s="2"/>
      <c r="I816" s="3"/>
    </row>
    <row r="817" spans="2:9" ht="12.75">
      <c r="B817" s="2"/>
      <c r="C817" s="2"/>
      <c r="D817" s="2"/>
      <c r="E817" s="2"/>
      <c r="H817" s="2"/>
      <c r="I817" s="3"/>
    </row>
    <row r="818" spans="2:9" ht="12.75">
      <c r="B818" s="2"/>
      <c r="C818" s="2"/>
      <c r="D818" s="2"/>
      <c r="E818" s="2"/>
      <c r="H818" s="2"/>
      <c r="I818" s="3"/>
    </row>
    <row r="819" spans="2:9" ht="12.75">
      <c r="B819" s="2"/>
      <c r="C819" s="2"/>
      <c r="D819" s="2"/>
      <c r="E819" s="2"/>
      <c r="H819" s="2"/>
      <c r="I819" s="3"/>
    </row>
    <row r="820" spans="2:9" ht="12.75">
      <c r="B820" s="2"/>
      <c r="C820" s="2"/>
      <c r="D820" s="2"/>
      <c r="E820" s="2"/>
      <c r="H820" s="2"/>
      <c r="I820" s="3"/>
    </row>
    <row r="821" spans="2:9" ht="12.75">
      <c r="B821" s="2"/>
      <c r="C821" s="2"/>
      <c r="D821" s="2"/>
      <c r="E821" s="2"/>
      <c r="H821" s="2"/>
      <c r="I821" s="3"/>
    </row>
    <row r="822" spans="2:9" ht="12.75">
      <c r="B822" s="2"/>
      <c r="C822" s="2"/>
      <c r="D822" s="2"/>
      <c r="E822" s="2"/>
      <c r="H822" s="2"/>
      <c r="I822" s="3"/>
    </row>
    <row r="823" spans="2:9" ht="12.75">
      <c r="B823" s="2"/>
      <c r="C823" s="2"/>
      <c r="D823" s="2"/>
      <c r="E823" s="2"/>
      <c r="H823" s="2"/>
      <c r="I823" s="3"/>
    </row>
    <row r="824" spans="2:9" ht="12.75">
      <c r="B824" s="2"/>
      <c r="C824" s="2"/>
      <c r="D824" s="2"/>
      <c r="E824" s="2"/>
      <c r="H824" s="2"/>
      <c r="I824" s="3"/>
    </row>
    <row r="825" spans="2:9" ht="12.75">
      <c r="B825" s="2"/>
      <c r="C825" s="2"/>
      <c r="D825" s="2"/>
      <c r="E825" s="2"/>
      <c r="H825" s="2"/>
      <c r="I825" s="3"/>
    </row>
    <row r="826" spans="2:9" ht="12.75">
      <c r="B826" s="2"/>
      <c r="C826" s="2"/>
      <c r="D826" s="2"/>
      <c r="E826" s="2"/>
      <c r="H826" s="2"/>
      <c r="I826" s="3"/>
    </row>
    <row r="827" spans="2:9" ht="12.75">
      <c r="B827" s="2"/>
      <c r="C827" s="2"/>
      <c r="D827" s="2"/>
      <c r="E827" s="2"/>
      <c r="H827" s="2"/>
      <c r="I827" s="3"/>
    </row>
    <row r="828" spans="2:9" ht="12.75">
      <c r="B828" s="2"/>
      <c r="C828" s="2"/>
      <c r="D828" s="2"/>
      <c r="E828" s="2"/>
      <c r="H828" s="2"/>
      <c r="I828" s="3"/>
    </row>
    <row r="829" spans="2:9" ht="12.75">
      <c r="B829" s="2"/>
      <c r="C829" s="2"/>
      <c r="D829" s="2"/>
      <c r="E829" s="2"/>
      <c r="H829" s="2"/>
      <c r="I829" s="3"/>
    </row>
    <row r="830" spans="2:9" ht="12.75">
      <c r="B830" s="2"/>
      <c r="C830" s="2"/>
      <c r="D830" s="2"/>
      <c r="E830" s="2"/>
      <c r="H830" s="2"/>
      <c r="I830" s="3"/>
    </row>
    <row r="831" spans="2:9" ht="12.75">
      <c r="B831" s="2"/>
      <c r="C831" s="2"/>
      <c r="D831" s="2"/>
      <c r="E831" s="2"/>
      <c r="H831" s="2"/>
      <c r="I831" s="3"/>
    </row>
    <row r="832" spans="2:9" ht="12.75">
      <c r="B832" s="2"/>
      <c r="C832" s="2"/>
      <c r="D832" s="2"/>
      <c r="E832" s="2"/>
      <c r="H832" s="2"/>
      <c r="I832" s="3"/>
    </row>
    <row r="833" spans="2:9" ht="12.75">
      <c r="B833" s="2"/>
      <c r="C833" s="2"/>
      <c r="D833" s="2"/>
      <c r="E833" s="2"/>
      <c r="H833" s="2"/>
      <c r="I833" s="3"/>
    </row>
    <row r="834" spans="2:9" ht="12.75">
      <c r="B834" s="2"/>
      <c r="C834" s="2"/>
      <c r="D834" s="2"/>
      <c r="E834" s="2"/>
      <c r="H834" s="2"/>
      <c r="I834" s="3"/>
    </row>
    <row r="835" spans="2:9" ht="12.75">
      <c r="B835" s="2"/>
      <c r="C835" s="2"/>
      <c r="D835" s="2"/>
      <c r="E835" s="2"/>
      <c r="H835" s="2"/>
      <c r="I835" s="3"/>
    </row>
    <row r="836" spans="2:9" ht="12.75">
      <c r="B836" s="2"/>
      <c r="C836" s="2"/>
      <c r="D836" s="2"/>
      <c r="E836" s="2"/>
      <c r="H836" s="2"/>
      <c r="I836" s="3"/>
    </row>
    <row r="837" spans="2:9" ht="12.75">
      <c r="B837" s="2"/>
      <c r="C837" s="2"/>
      <c r="D837" s="2"/>
      <c r="E837" s="2"/>
      <c r="H837" s="2"/>
      <c r="I837" s="3"/>
    </row>
    <row r="838" spans="2:9" ht="12.75">
      <c r="B838" s="2"/>
      <c r="C838" s="2"/>
      <c r="D838" s="2"/>
      <c r="E838" s="2"/>
      <c r="H838" s="2"/>
      <c r="I838" s="3"/>
    </row>
    <row r="839" spans="2:9" ht="12.75">
      <c r="B839" s="2"/>
      <c r="C839" s="2"/>
      <c r="D839" s="2"/>
      <c r="E839" s="2"/>
      <c r="H839" s="2"/>
      <c r="I839" s="3"/>
    </row>
    <row r="840" spans="2:9" ht="12.75">
      <c r="B840" s="2"/>
      <c r="C840" s="2"/>
      <c r="D840" s="2"/>
      <c r="E840" s="2"/>
      <c r="H840" s="2"/>
      <c r="I840" s="3"/>
    </row>
    <row r="841" spans="2:9" ht="12.75">
      <c r="B841" s="2"/>
      <c r="C841" s="2"/>
      <c r="D841" s="2"/>
      <c r="E841" s="2"/>
      <c r="H841" s="2"/>
      <c r="I841" s="3"/>
    </row>
    <row r="842" spans="2:9" ht="12.75">
      <c r="B842" s="2"/>
      <c r="C842" s="2"/>
      <c r="D842" s="2"/>
      <c r="E842" s="2"/>
      <c r="H842" s="2"/>
      <c r="I842" s="3"/>
    </row>
    <row r="843" spans="2:9" ht="12.75">
      <c r="B843" s="2"/>
      <c r="C843" s="2"/>
      <c r="D843" s="2"/>
      <c r="E843" s="2"/>
      <c r="H843" s="2"/>
      <c r="I843" s="3"/>
    </row>
    <row r="844" spans="2:9" ht="12.75">
      <c r="B844" s="2"/>
      <c r="C844" s="2"/>
      <c r="D844" s="2"/>
      <c r="E844" s="2"/>
      <c r="H844" s="2"/>
      <c r="I844" s="3"/>
    </row>
    <row r="845" spans="2:9" ht="12.75">
      <c r="B845" s="2"/>
      <c r="C845" s="2"/>
      <c r="D845" s="2"/>
      <c r="E845" s="2"/>
      <c r="H845" s="2"/>
      <c r="I845" s="3"/>
    </row>
    <row r="846" spans="2:9" ht="12.75">
      <c r="B846" s="2"/>
      <c r="C846" s="2"/>
      <c r="D846" s="2"/>
      <c r="E846" s="2"/>
      <c r="H846" s="2"/>
      <c r="I846" s="3"/>
    </row>
    <row r="847" spans="2:9" ht="12.75">
      <c r="B847" s="2"/>
      <c r="C847" s="2"/>
      <c r="D847" s="2"/>
      <c r="E847" s="2"/>
      <c r="H847" s="2"/>
      <c r="I847" s="3"/>
    </row>
    <row r="848" spans="2:9" ht="12.75">
      <c r="B848" s="2"/>
      <c r="C848" s="2"/>
      <c r="D848" s="2"/>
      <c r="E848" s="2"/>
      <c r="H848" s="2"/>
      <c r="I848" s="3"/>
    </row>
    <row r="849" spans="2:9" ht="12.75">
      <c r="B849" s="2"/>
      <c r="C849" s="2"/>
      <c r="D849" s="2"/>
      <c r="E849" s="2"/>
      <c r="H849" s="2"/>
      <c r="I849" s="3"/>
    </row>
    <row r="850" spans="2:9" ht="12.75">
      <c r="B850" s="2"/>
      <c r="C850" s="2"/>
      <c r="D850" s="2"/>
      <c r="E850" s="2"/>
      <c r="H850" s="2"/>
      <c r="I850" s="3"/>
    </row>
    <row r="851" spans="2:9" ht="12.75">
      <c r="B851" s="2"/>
      <c r="C851" s="2"/>
      <c r="D851" s="2"/>
      <c r="E851" s="2"/>
      <c r="H851" s="2"/>
      <c r="I851" s="3"/>
    </row>
    <row r="852" spans="2:9" ht="12.75">
      <c r="B852" s="2"/>
      <c r="C852" s="2"/>
      <c r="D852" s="2"/>
      <c r="E852" s="2"/>
      <c r="H852" s="2"/>
      <c r="I852" s="3"/>
    </row>
    <row r="853" spans="2:9" ht="12.75">
      <c r="B853" s="2"/>
      <c r="C853" s="2"/>
      <c r="D853" s="2"/>
      <c r="E853" s="2"/>
      <c r="H853" s="2"/>
      <c r="I853" s="3"/>
    </row>
    <row r="854" spans="2:9" ht="12.75">
      <c r="B854" s="2"/>
      <c r="C854" s="2"/>
      <c r="D854" s="2"/>
      <c r="E854" s="2"/>
      <c r="H854" s="2"/>
      <c r="I854" s="3"/>
    </row>
    <row r="855" spans="2:9" ht="12.75">
      <c r="B855" s="2"/>
      <c r="C855" s="2"/>
      <c r="D855" s="2"/>
      <c r="E855" s="2"/>
      <c r="H855" s="2"/>
      <c r="I855" s="3"/>
    </row>
    <row r="856" spans="2:9" ht="12.75">
      <c r="B856" s="2"/>
      <c r="C856" s="2"/>
      <c r="D856" s="2"/>
      <c r="E856" s="2"/>
      <c r="H856" s="2"/>
      <c r="I856" s="3"/>
    </row>
    <row r="857" spans="2:9" ht="12.75">
      <c r="B857" s="2"/>
      <c r="C857" s="2"/>
      <c r="D857" s="2"/>
      <c r="E857" s="2"/>
      <c r="H857" s="2"/>
      <c r="I857" s="3"/>
    </row>
    <row r="858" spans="2:9" ht="12.75">
      <c r="B858" s="2"/>
      <c r="C858" s="2"/>
      <c r="D858" s="2"/>
      <c r="E858" s="2"/>
      <c r="H858" s="2"/>
      <c r="I858" s="3"/>
    </row>
    <row r="859" spans="2:9" ht="12.75">
      <c r="B859" s="2"/>
      <c r="C859" s="2"/>
      <c r="D859" s="2"/>
      <c r="E859" s="2"/>
      <c r="H859" s="2"/>
      <c r="I859" s="3"/>
    </row>
    <row r="860" spans="2:9" ht="12.75">
      <c r="B860" s="2"/>
      <c r="C860" s="2"/>
      <c r="D860" s="2"/>
      <c r="E860" s="2"/>
      <c r="H860" s="2"/>
      <c r="I860" s="3"/>
    </row>
    <row r="861" spans="2:9" ht="12.75">
      <c r="B861" s="2"/>
      <c r="C861" s="2"/>
      <c r="D861" s="2"/>
      <c r="E861" s="2"/>
      <c r="H861" s="2"/>
      <c r="I861" s="3"/>
    </row>
    <row r="862" spans="2:9" ht="12.75">
      <c r="B862" s="2"/>
      <c r="C862" s="2"/>
      <c r="D862" s="2"/>
      <c r="E862" s="2"/>
      <c r="H862" s="2"/>
      <c r="I862" s="3"/>
    </row>
    <row r="863" spans="2:9" ht="12.75">
      <c r="B863" s="2"/>
      <c r="C863" s="2"/>
      <c r="D863" s="2"/>
      <c r="E863" s="2"/>
      <c r="H863" s="2"/>
      <c r="I863" s="3"/>
    </row>
    <row r="864" spans="2:9" ht="12.75">
      <c r="B864" s="2"/>
      <c r="C864" s="2"/>
      <c r="D864" s="2"/>
      <c r="E864" s="2"/>
      <c r="H864" s="2"/>
      <c r="I864" s="3"/>
    </row>
    <row r="865" spans="2:9" ht="12.75">
      <c r="B865" s="2"/>
      <c r="C865" s="2"/>
      <c r="D865" s="2"/>
      <c r="E865" s="2"/>
      <c r="H865" s="2"/>
      <c r="I865" s="3"/>
    </row>
    <row r="866" spans="2:9" ht="12.75">
      <c r="B866" s="2"/>
      <c r="C866" s="2"/>
      <c r="D866" s="2"/>
      <c r="E866" s="2"/>
      <c r="H866" s="2"/>
      <c r="I866" s="3"/>
    </row>
    <row r="867" spans="2:9" ht="12.75">
      <c r="B867" s="2"/>
      <c r="C867" s="2"/>
      <c r="D867" s="2"/>
      <c r="E867" s="2"/>
      <c r="H867" s="2"/>
      <c r="I867" s="3"/>
    </row>
    <row r="868" spans="2:9" ht="12.75">
      <c r="B868" s="2"/>
      <c r="C868" s="2"/>
      <c r="D868" s="2"/>
      <c r="E868" s="2"/>
      <c r="H868" s="2"/>
      <c r="I868" s="3"/>
    </row>
    <row r="869" spans="2:9" ht="12.75">
      <c r="B869" s="2"/>
      <c r="C869" s="2"/>
      <c r="D869" s="2"/>
      <c r="E869" s="2"/>
      <c r="H869" s="2"/>
      <c r="I869" s="3"/>
    </row>
    <row r="870" spans="2:9" ht="12.75">
      <c r="B870" s="2"/>
      <c r="C870" s="2"/>
      <c r="D870" s="2"/>
      <c r="E870" s="2"/>
      <c r="H870" s="2"/>
      <c r="I870" s="3"/>
    </row>
    <row r="871" spans="2:9" ht="12.75">
      <c r="B871" s="2"/>
      <c r="C871" s="2"/>
      <c r="D871" s="2"/>
      <c r="E871" s="2"/>
      <c r="H871" s="2"/>
      <c r="I871" s="3"/>
    </row>
    <row r="872" spans="2:9" ht="12.75">
      <c r="B872" s="2"/>
      <c r="C872" s="2"/>
      <c r="D872" s="2"/>
      <c r="E872" s="2"/>
      <c r="H872" s="2"/>
      <c r="I872" s="3"/>
    </row>
    <row r="873" spans="2:9" ht="12.75">
      <c r="B873" s="2"/>
      <c r="C873" s="2"/>
      <c r="D873" s="2"/>
      <c r="E873" s="2"/>
      <c r="H873" s="2"/>
      <c r="I873" s="3"/>
    </row>
    <row r="874" spans="2:9" ht="12.75">
      <c r="B874" s="2"/>
      <c r="C874" s="2"/>
      <c r="D874" s="2"/>
      <c r="E874" s="2"/>
      <c r="H874" s="2"/>
      <c r="I874" s="3"/>
    </row>
    <row r="875" spans="2:9" ht="12.75">
      <c r="B875" s="2"/>
      <c r="C875" s="2"/>
      <c r="D875" s="2"/>
      <c r="E875" s="2"/>
      <c r="H875" s="2"/>
      <c r="I875" s="3"/>
    </row>
    <row r="876" spans="2:9" ht="12.75">
      <c r="B876" s="2"/>
      <c r="C876" s="2"/>
      <c r="D876" s="2"/>
      <c r="E876" s="2"/>
      <c r="H876" s="2"/>
      <c r="I876" s="3"/>
    </row>
    <row r="877" spans="2:9" ht="12.75">
      <c r="B877" s="2"/>
      <c r="C877" s="2"/>
      <c r="D877" s="2"/>
      <c r="E877" s="2"/>
      <c r="H877" s="2"/>
      <c r="I877" s="3"/>
    </row>
    <row r="878" spans="2:9" ht="12.75">
      <c r="B878" s="2"/>
      <c r="C878" s="2"/>
      <c r="D878" s="2"/>
      <c r="E878" s="2"/>
      <c r="H878" s="2"/>
      <c r="I878" s="3"/>
    </row>
    <row r="879" spans="2:9" ht="12.75">
      <c r="B879" s="2"/>
      <c r="C879" s="2"/>
      <c r="D879" s="2"/>
      <c r="E879" s="2"/>
      <c r="H879" s="2"/>
      <c r="I879" s="3"/>
    </row>
    <row r="880" spans="2:9" ht="12.75">
      <c r="B880" s="2"/>
      <c r="C880" s="2"/>
      <c r="D880" s="2"/>
      <c r="E880" s="2"/>
      <c r="H880" s="2"/>
      <c r="I880" s="3"/>
    </row>
    <row r="881" spans="2:9" ht="12.75">
      <c r="B881" s="2"/>
      <c r="C881" s="2"/>
      <c r="D881" s="2"/>
      <c r="E881" s="2"/>
      <c r="H881" s="2"/>
      <c r="I881" s="3"/>
    </row>
    <row r="882" spans="2:9" ht="12.75">
      <c r="B882" s="2"/>
      <c r="C882" s="2"/>
      <c r="D882" s="2"/>
      <c r="E882" s="2"/>
      <c r="H882" s="2"/>
      <c r="I882" s="3"/>
    </row>
    <row r="883" spans="2:9" ht="12.75">
      <c r="B883" s="2"/>
      <c r="C883" s="2"/>
      <c r="D883" s="2"/>
      <c r="E883" s="2"/>
      <c r="H883" s="2"/>
      <c r="I883" s="3"/>
    </row>
    <row r="884" spans="2:9" ht="12.75">
      <c r="B884" s="2"/>
      <c r="C884" s="2"/>
      <c r="D884" s="2"/>
      <c r="E884" s="2"/>
      <c r="H884" s="2"/>
      <c r="I884" s="3"/>
    </row>
    <row r="885" spans="2:9" ht="12.75">
      <c r="B885" s="2"/>
      <c r="C885" s="2"/>
      <c r="D885" s="2"/>
      <c r="E885" s="2"/>
      <c r="H885" s="2"/>
      <c r="I885" s="3"/>
    </row>
    <row r="886" spans="2:9" ht="12.75">
      <c r="B886" s="2"/>
      <c r="C886" s="2"/>
      <c r="D886" s="2"/>
      <c r="E886" s="2"/>
      <c r="H886" s="2"/>
      <c r="I886" s="3"/>
    </row>
    <row r="887" spans="2:9" ht="12.75">
      <c r="B887" s="2"/>
      <c r="C887" s="2"/>
      <c r="D887" s="2"/>
      <c r="E887" s="2"/>
      <c r="H887" s="2"/>
      <c r="I887" s="3"/>
    </row>
    <row r="888" spans="2:9" ht="12.75">
      <c r="B888" s="2"/>
      <c r="C888" s="2"/>
      <c r="D888" s="2"/>
      <c r="E888" s="2"/>
      <c r="H888" s="2"/>
      <c r="I888" s="3"/>
    </row>
    <row r="889" spans="2:9" ht="12.75">
      <c r="B889" s="2"/>
      <c r="C889" s="2"/>
      <c r="D889" s="2"/>
      <c r="E889" s="2"/>
      <c r="H889" s="2"/>
      <c r="I889" s="3"/>
    </row>
    <row r="890" spans="2:9" ht="12.75">
      <c r="B890" s="2"/>
      <c r="C890" s="2"/>
      <c r="D890" s="2"/>
      <c r="E890" s="2"/>
      <c r="H890" s="2"/>
      <c r="I890" s="3"/>
    </row>
    <row r="891" spans="2:9" ht="12.75">
      <c r="B891" s="2"/>
      <c r="C891" s="2"/>
      <c r="D891" s="2"/>
      <c r="E891" s="2"/>
      <c r="H891" s="2"/>
      <c r="I891" s="3"/>
    </row>
    <row r="892" spans="2:9" ht="12.75">
      <c r="B892" s="2"/>
      <c r="C892" s="2"/>
      <c r="D892" s="2"/>
      <c r="E892" s="2"/>
      <c r="H892" s="2"/>
      <c r="I892" s="3"/>
    </row>
    <row r="893" spans="2:9" ht="12.75">
      <c r="B893" s="2"/>
      <c r="C893" s="2"/>
      <c r="D893" s="2"/>
      <c r="E893" s="2"/>
      <c r="H893" s="2"/>
      <c r="I893" s="3"/>
    </row>
    <row r="894" spans="2:9" ht="12.75">
      <c r="B894" s="2"/>
      <c r="C894" s="2"/>
      <c r="D894" s="2"/>
      <c r="E894" s="2"/>
      <c r="H894" s="2"/>
      <c r="I894" s="3"/>
    </row>
    <row r="895" spans="2:9" ht="12.75">
      <c r="B895" s="2"/>
      <c r="C895" s="2"/>
      <c r="D895" s="2"/>
      <c r="E895" s="2"/>
      <c r="H895" s="2"/>
      <c r="I895" s="3"/>
    </row>
    <row r="896" spans="2:9" ht="12.75">
      <c r="B896" s="2"/>
      <c r="C896" s="2"/>
      <c r="D896" s="2"/>
      <c r="E896" s="2"/>
      <c r="H896" s="2"/>
      <c r="I896" s="3"/>
    </row>
    <row r="897" spans="2:9" ht="12.75">
      <c r="B897" s="2"/>
      <c r="C897" s="2"/>
      <c r="D897" s="2"/>
      <c r="E897" s="2"/>
      <c r="H897" s="2"/>
      <c r="I897" s="3"/>
    </row>
    <row r="898" spans="2:9" ht="12.75">
      <c r="B898" s="2"/>
      <c r="C898" s="2"/>
      <c r="D898" s="2"/>
      <c r="E898" s="2"/>
      <c r="H898" s="2"/>
      <c r="I898" s="3"/>
    </row>
    <row r="899" spans="2:9" ht="12.75">
      <c r="B899" s="2"/>
      <c r="C899" s="2"/>
      <c r="D899" s="2"/>
      <c r="E899" s="2"/>
      <c r="H899" s="2"/>
      <c r="I899" s="3"/>
    </row>
    <row r="900" spans="2:9" ht="12.75">
      <c r="B900" s="2"/>
      <c r="C900" s="2"/>
      <c r="D900" s="2"/>
      <c r="E900" s="2"/>
      <c r="H900" s="2"/>
      <c r="I900" s="3"/>
    </row>
    <row r="901" spans="2:9" ht="12.75">
      <c r="B901" s="2"/>
      <c r="C901" s="2"/>
      <c r="D901" s="2"/>
      <c r="E901" s="2"/>
      <c r="H901" s="2"/>
      <c r="I901" s="3"/>
    </row>
    <row r="902" spans="2:9" ht="12.75">
      <c r="B902" s="2"/>
      <c r="C902" s="2"/>
      <c r="D902" s="2"/>
      <c r="E902" s="2"/>
      <c r="H902" s="2"/>
      <c r="I902" s="3"/>
    </row>
    <row r="903" spans="2:9" ht="12.75">
      <c r="B903" s="2"/>
      <c r="C903" s="2"/>
      <c r="D903" s="2"/>
      <c r="E903" s="2"/>
      <c r="H903" s="2"/>
      <c r="I903" s="3"/>
    </row>
    <row r="904" spans="2:9" ht="12.75">
      <c r="B904" s="2"/>
      <c r="C904" s="2"/>
      <c r="D904" s="2"/>
      <c r="E904" s="2"/>
      <c r="H904" s="2"/>
      <c r="I904" s="3"/>
    </row>
    <row r="905" spans="2:9" ht="12.75">
      <c r="B905" s="2"/>
      <c r="C905" s="2"/>
      <c r="D905" s="2"/>
      <c r="E905" s="2"/>
      <c r="H905" s="2"/>
      <c r="I905" s="3"/>
    </row>
    <row r="906" spans="2:9" ht="12.75">
      <c r="B906" s="2"/>
      <c r="C906" s="2"/>
      <c r="D906" s="2"/>
      <c r="E906" s="2"/>
      <c r="H906" s="2"/>
      <c r="I906" s="3"/>
    </row>
    <row r="907" spans="2:9" ht="12.75">
      <c r="B907" s="2"/>
      <c r="C907" s="2"/>
      <c r="D907" s="2"/>
      <c r="E907" s="2"/>
      <c r="H907" s="2"/>
      <c r="I907" s="3"/>
    </row>
    <row r="908" spans="2:9" ht="12.75">
      <c r="B908" s="2"/>
      <c r="C908" s="2"/>
      <c r="D908" s="2"/>
      <c r="E908" s="2"/>
      <c r="H908" s="2"/>
      <c r="I908" s="3"/>
    </row>
    <row r="909" spans="2:9" ht="12.75">
      <c r="B909" s="2"/>
      <c r="C909" s="2"/>
      <c r="D909" s="2"/>
      <c r="E909" s="2"/>
      <c r="H909" s="2"/>
      <c r="I909" s="3"/>
    </row>
    <row r="910" spans="2:9" ht="12.75">
      <c r="B910" s="2"/>
      <c r="C910" s="2"/>
      <c r="D910" s="2"/>
      <c r="E910" s="2"/>
      <c r="H910" s="2"/>
      <c r="I910" s="3"/>
    </row>
    <row r="911" spans="2:9" ht="12.75">
      <c r="B911" s="2"/>
      <c r="C911" s="2"/>
      <c r="D911" s="2"/>
      <c r="E911" s="2"/>
      <c r="H911" s="2"/>
      <c r="I911" s="3"/>
    </row>
    <row r="912" spans="2:9" ht="12.75">
      <c r="B912" s="2"/>
      <c r="C912" s="2"/>
      <c r="D912" s="2"/>
      <c r="E912" s="2"/>
      <c r="H912" s="2"/>
      <c r="I912" s="3"/>
    </row>
    <row r="913" spans="2:9" ht="12.75">
      <c r="B913" s="2"/>
      <c r="C913" s="2"/>
      <c r="D913" s="2"/>
      <c r="E913" s="2"/>
      <c r="H913" s="2"/>
      <c r="I913" s="3"/>
    </row>
    <row r="914" spans="2:9" ht="12.75">
      <c r="B914" s="2"/>
      <c r="C914" s="2"/>
      <c r="D914" s="2"/>
      <c r="E914" s="2"/>
      <c r="H914" s="2"/>
      <c r="I914" s="3"/>
    </row>
    <row r="915" spans="2:9" ht="12.75">
      <c r="B915" s="2"/>
      <c r="C915" s="2"/>
      <c r="D915" s="2"/>
      <c r="E915" s="2"/>
      <c r="H915" s="2"/>
      <c r="I915" s="3"/>
    </row>
    <row r="916" spans="2:9" ht="12.75">
      <c r="B916" s="2"/>
      <c r="C916" s="2"/>
      <c r="D916" s="2"/>
      <c r="E916" s="2"/>
      <c r="H916" s="2"/>
      <c r="I916" s="3"/>
    </row>
    <row r="917" spans="2:9" ht="12.75">
      <c r="B917" s="2"/>
      <c r="C917" s="2"/>
      <c r="D917" s="2"/>
      <c r="E917" s="2"/>
      <c r="H917" s="2"/>
      <c r="I917" s="3"/>
    </row>
    <row r="918" spans="2:9" ht="12.75">
      <c r="B918" s="2"/>
      <c r="C918" s="2"/>
      <c r="D918" s="2"/>
      <c r="E918" s="2"/>
      <c r="H918" s="2"/>
      <c r="I918" s="3"/>
    </row>
    <row r="919" spans="2:9" ht="12.75">
      <c r="B919" s="2"/>
      <c r="C919" s="2"/>
      <c r="D919" s="2"/>
      <c r="E919" s="2"/>
      <c r="H919" s="2"/>
      <c r="I919" s="3"/>
    </row>
    <row r="920" spans="2:9" ht="12.75">
      <c r="B920" s="2"/>
      <c r="C920" s="2"/>
      <c r="D920" s="2"/>
      <c r="E920" s="2"/>
      <c r="H920" s="2"/>
      <c r="I920" s="3"/>
    </row>
    <row r="921" spans="2:9" ht="12.75">
      <c r="B921" s="2"/>
      <c r="C921" s="2"/>
      <c r="D921" s="2"/>
      <c r="E921" s="2"/>
      <c r="H921" s="2"/>
      <c r="I921" s="3"/>
    </row>
    <row r="922" spans="2:9" ht="12.75">
      <c r="B922" s="2"/>
      <c r="C922" s="2"/>
      <c r="D922" s="2"/>
      <c r="E922" s="2"/>
      <c r="H922" s="2"/>
      <c r="I922" s="3"/>
    </row>
    <row r="923" spans="2:9" ht="12.75">
      <c r="B923" s="2"/>
      <c r="C923" s="2"/>
      <c r="D923" s="2"/>
      <c r="E923" s="2"/>
      <c r="H923" s="2"/>
      <c r="I923" s="3"/>
    </row>
    <row r="924" spans="2:9" ht="12.75">
      <c r="B924" s="2"/>
      <c r="C924" s="2"/>
      <c r="D924" s="2"/>
      <c r="E924" s="2"/>
      <c r="H924" s="2"/>
      <c r="I924" s="3"/>
    </row>
    <row r="925" spans="2:9" ht="12.75">
      <c r="B925" s="2"/>
      <c r="C925" s="2"/>
      <c r="D925" s="2"/>
      <c r="E925" s="2"/>
      <c r="H925" s="2"/>
      <c r="I925" s="3"/>
    </row>
    <row r="926" spans="2:9" ht="12.75">
      <c r="B926" s="2"/>
      <c r="C926" s="2"/>
      <c r="D926" s="2"/>
      <c r="E926" s="2"/>
      <c r="H926" s="2"/>
      <c r="I926" s="3"/>
    </row>
    <row r="927" spans="2:9" ht="12.75">
      <c r="B927" s="2"/>
      <c r="C927" s="2"/>
      <c r="D927" s="2"/>
      <c r="E927" s="2"/>
      <c r="H927" s="2"/>
      <c r="I927" s="3"/>
    </row>
    <row r="928" spans="2:9" ht="12.75">
      <c r="B928" s="2"/>
      <c r="C928" s="2"/>
      <c r="D928" s="2"/>
      <c r="E928" s="2"/>
      <c r="H928" s="2"/>
      <c r="I928" s="3"/>
    </row>
    <row r="929" spans="2:9" ht="12.75">
      <c r="B929" s="2"/>
      <c r="C929" s="2"/>
      <c r="D929" s="2"/>
      <c r="E929" s="2"/>
      <c r="H929" s="2"/>
      <c r="I929" s="3"/>
    </row>
    <row r="930" spans="2:9" ht="12.75">
      <c r="B930" s="2"/>
      <c r="C930" s="2"/>
      <c r="D930" s="2"/>
      <c r="E930" s="2"/>
      <c r="H930" s="2"/>
      <c r="I930" s="3"/>
    </row>
    <row r="931" spans="2:9" ht="12.75">
      <c r="B931" s="2"/>
      <c r="C931" s="2"/>
      <c r="D931" s="2"/>
      <c r="E931" s="2"/>
      <c r="H931" s="2"/>
      <c r="I931" s="3"/>
    </row>
    <row r="932" spans="2:9" ht="12.75">
      <c r="B932" s="2"/>
      <c r="C932" s="2"/>
      <c r="D932" s="2"/>
      <c r="E932" s="2"/>
      <c r="H932" s="2"/>
      <c r="I932" s="3"/>
    </row>
    <row r="933" spans="2:9" ht="12.75">
      <c r="B933" s="2"/>
      <c r="C933" s="2"/>
      <c r="D933" s="2"/>
      <c r="E933" s="2"/>
      <c r="H933" s="2"/>
      <c r="I933" s="3"/>
    </row>
    <row r="934" spans="2:9" ht="12.75">
      <c r="B934" s="2"/>
      <c r="C934" s="2"/>
      <c r="D934" s="2"/>
      <c r="E934" s="2"/>
      <c r="H934" s="2"/>
      <c r="I934" s="3"/>
    </row>
    <row r="935" spans="2:9" ht="12.75">
      <c r="B935" s="2"/>
      <c r="C935" s="2"/>
      <c r="D935" s="2"/>
      <c r="E935" s="2"/>
      <c r="H935" s="2"/>
      <c r="I935" s="3"/>
    </row>
    <row r="936" spans="2:9" ht="12.75">
      <c r="B936" s="2"/>
      <c r="C936" s="2"/>
      <c r="D936" s="2"/>
      <c r="E936" s="2"/>
      <c r="H936" s="2"/>
      <c r="I936" s="3"/>
    </row>
    <row r="937" spans="2:9" ht="12.75">
      <c r="B937" s="2"/>
      <c r="C937" s="2"/>
      <c r="D937" s="2"/>
      <c r="E937" s="2"/>
      <c r="H937" s="2"/>
      <c r="I937" s="3"/>
    </row>
    <row r="938" spans="2:9" ht="12.75">
      <c r="B938" s="2"/>
      <c r="C938" s="2"/>
      <c r="D938" s="2"/>
      <c r="E938" s="2"/>
      <c r="H938" s="2"/>
      <c r="I938" s="3"/>
    </row>
    <row r="939" spans="2:9" ht="12.75">
      <c r="B939" s="2"/>
      <c r="C939" s="2"/>
      <c r="D939" s="2"/>
      <c r="E939" s="2"/>
      <c r="H939" s="2"/>
      <c r="I939" s="3"/>
    </row>
    <row r="940" spans="2:9" ht="12.75">
      <c r="B940" s="2"/>
      <c r="C940" s="2"/>
      <c r="D940" s="2"/>
      <c r="E940" s="2"/>
      <c r="H940" s="2"/>
      <c r="I940" s="3"/>
    </row>
    <row r="941" spans="2:9" ht="12.75">
      <c r="B941" s="2"/>
      <c r="C941" s="2"/>
      <c r="D941" s="2"/>
      <c r="E941" s="2"/>
      <c r="H941" s="2"/>
      <c r="I941" s="3"/>
    </row>
    <row r="942" spans="2:9" ht="12.75">
      <c r="B942" s="2"/>
      <c r="C942" s="2"/>
      <c r="D942" s="2"/>
      <c r="E942" s="2"/>
      <c r="H942" s="2"/>
      <c r="I942" s="3"/>
    </row>
    <row r="943" spans="2:9" ht="12.75">
      <c r="B943" s="2"/>
      <c r="C943" s="2"/>
      <c r="D943" s="2"/>
      <c r="E943" s="2"/>
      <c r="H943" s="2"/>
      <c r="I943" s="3"/>
    </row>
    <row r="944" spans="2:9" ht="12.75">
      <c r="B944" s="2"/>
      <c r="C944" s="2"/>
      <c r="D944" s="2"/>
      <c r="E944" s="2"/>
      <c r="H944" s="2"/>
      <c r="I944" s="3"/>
    </row>
    <row r="945" spans="2:9" ht="12.75">
      <c r="B945" s="2"/>
      <c r="C945" s="2"/>
      <c r="D945" s="2"/>
      <c r="E945" s="2"/>
      <c r="H945" s="2"/>
      <c r="I945" s="3"/>
    </row>
    <row r="946" spans="2:9" ht="12.75">
      <c r="B946" s="2"/>
      <c r="C946" s="2"/>
      <c r="D946" s="2"/>
      <c r="E946" s="2"/>
      <c r="H946" s="2"/>
      <c r="I946" s="3"/>
    </row>
    <row r="947" spans="2:9" ht="12.75">
      <c r="B947" s="2"/>
      <c r="C947" s="2"/>
      <c r="D947" s="2"/>
      <c r="E947" s="2"/>
      <c r="H947" s="2"/>
      <c r="I947" s="3"/>
    </row>
    <row r="948" spans="2:9" ht="12.75">
      <c r="B948" s="2"/>
      <c r="C948" s="2"/>
      <c r="D948" s="2"/>
      <c r="E948" s="2"/>
      <c r="H948" s="2"/>
      <c r="I948" s="3"/>
    </row>
    <row r="949" spans="2:9" ht="12.75">
      <c r="B949" s="2"/>
      <c r="C949" s="2"/>
      <c r="D949" s="2"/>
      <c r="E949" s="2"/>
      <c r="H949" s="2"/>
      <c r="I949" s="3"/>
    </row>
    <row r="950" spans="2:9" ht="12.75">
      <c r="B950" s="2"/>
      <c r="C950" s="2"/>
      <c r="D950" s="2"/>
      <c r="E950" s="2"/>
      <c r="H950" s="2"/>
      <c r="I950" s="3"/>
    </row>
    <row r="951" spans="2:9" ht="12.75">
      <c r="B951" s="2"/>
      <c r="C951" s="2"/>
      <c r="D951" s="2"/>
      <c r="E951" s="2"/>
      <c r="H951" s="2"/>
      <c r="I951" s="3"/>
    </row>
    <row r="952" spans="2:9" ht="12.75">
      <c r="B952" s="2"/>
      <c r="C952" s="2"/>
      <c r="D952" s="2"/>
      <c r="E952" s="2"/>
      <c r="H952" s="2"/>
      <c r="I952" s="3"/>
    </row>
    <row r="953" spans="2:9" ht="12.75">
      <c r="B953" s="2"/>
      <c r="C953" s="2"/>
      <c r="D953" s="2"/>
      <c r="E953" s="2"/>
      <c r="H953" s="2"/>
      <c r="I953" s="3"/>
    </row>
    <row r="954" spans="2:9" ht="12.75">
      <c r="B954" s="2"/>
      <c r="C954" s="2"/>
      <c r="D954" s="2"/>
      <c r="E954" s="2"/>
      <c r="H954" s="2"/>
      <c r="I954" s="3"/>
    </row>
    <row r="955" spans="2:9" ht="12.75">
      <c r="B955" s="2"/>
      <c r="C955" s="2"/>
      <c r="D955" s="2"/>
      <c r="E955" s="2"/>
      <c r="H955" s="2"/>
      <c r="I955" s="3"/>
    </row>
    <row r="956" spans="2:9" ht="12.75">
      <c r="B956" s="2"/>
      <c r="C956" s="2"/>
      <c r="D956" s="2"/>
      <c r="E956" s="2"/>
      <c r="H956" s="2"/>
      <c r="I956" s="3"/>
    </row>
    <row r="957" spans="2:9" ht="12.75">
      <c r="B957" s="2"/>
      <c r="C957" s="2"/>
      <c r="D957" s="2"/>
      <c r="E957" s="2"/>
      <c r="H957" s="2"/>
      <c r="I957" s="3"/>
    </row>
    <row r="958" spans="2:9" ht="12.75">
      <c r="B958" s="2"/>
      <c r="C958" s="2"/>
      <c r="D958" s="2"/>
      <c r="E958" s="2"/>
      <c r="H958" s="2"/>
      <c r="I958" s="3"/>
    </row>
    <row r="959" spans="2:9" ht="12.75">
      <c r="B959" s="2"/>
      <c r="C959" s="2"/>
      <c r="D959" s="2"/>
      <c r="E959" s="2"/>
      <c r="H959" s="2"/>
      <c r="I959" s="3"/>
    </row>
    <row r="960" spans="2:9" ht="12.75">
      <c r="B960" s="2"/>
      <c r="C960" s="2"/>
      <c r="D960" s="2"/>
      <c r="E960" s="2"/>
      <c r="H960" s="2"/>
      <c r="I960" s="3"/>
    </row>
    <row r="961" spans="2:9" ht="12.75">
      <c r="B961" s="2"/>
      <c r="C961" s="2"/>
      <c r="D961" s="2"/>
      <c r="E961" s="2"/>
      <c r="H961" s="2"/>
      <c r="I961" s="3"/>
    </row>
    <row r="962" spans="2:9" ht="12.75">
      <c r="B962" s="2"/>
      <c r="C962" s="2"/>
      <c r="D962" s="2"/>
      <c r="E962" s="2"/>
      <c r="H962" s="2"/>
      <c r="I962" s="3"/>
    </row>
    <row r="963" spans="2:9" ht="12.75">
      <c r="B963" s="2"/>
      <c r="C963" s="2"/>
      <c r="D963" s="2"/>
      <c r="E963" s="2"/>
      <c r="H963" s="2"/>
      <c r="I963" s="3"/>
    </row>
    <row r="964" spans="2:9" ht="12.75">
      <c r="B964" s="2"/>
      <c r="C964" s="2"/>
      <c r="D964" s="2"/>
      <c r="E964" s="2"/>
      <c r="H964" s="2"/>
      <c r="I964" s="3"/>
    </row>
    <row r="965" spans="2:9" ht="12.75">
      <c r="B965" s="2"/>
      <c r="C965" s="2"/>
      <c r="D965" s="2"/>
      <c r="E965" s="2"/>
      <c r="H965" s="2"/>
      <c r="I965" s="3"/>
    </row>
    <row r="966" spans="2:9" ht="12.75">
      <c r="B966" s="2"/>
      <c r="C966" s="2"/>
      <c r="D966" s="2"/>
      <c r="E966" s="2"/>
      <c r="H966" s="2"/>
      <c r="I966" s="3"/>
    </row>
    <row r="967" spans="2:9" ht="12.75">
      <c r="B967" s="2"/>
      <c r="C967" s="2"/>
      <c r="D967" s="2"/>
      <c r="E967" s="2"/>
      <c r="H967" s="2"/>
      <c r="I967" s="3"/>
    </row>
    <row r="968" spans="2:9" ht="12.75">
      <c r="B968" s="2"/>
      <c r="C968" s="2"/>
      <c r="D968" s="2"/>
      <c r="E968" s="2"/>
      <c r="H968" s="2"/>
      <c r="I968" s="3"/>
    </row>
    <row r="969" spans="2:9" ht="12.75">
      <c r="B969" s="2"/>
      <c r="C969" s="2"/>
      <c r="D969" s="2"/>
      <c r="E969" s="2"/>
      <c r="H969" s="2"/>
      <c r="I969" s="3"/>
    </row>
    <row r="970" spans="2:9" ht="12.75">
      <c r="B970" s="2"/>
      <c r="C970" s="2"/>
      <c r="D970" s="2"/>
      <c r="E970" s="2"/>
      <c r="H970" s="2"/>
      <c r="I970" s="3"/>
    </row>
    <row r="971" spans="2:9" ht="12.75">
      <c r="B971" s="2"/>
      <c r="C971" s="2"/>
      <c r="D971" s="2"/>
      <c r="E971" s="2"/>
      <c r="H971" s="2"/>
      <c r="I971" s="3"/>
    </row>
    <row r="972" spans="2:9" ht="12.75">
      <c r="B972" s="2"/>
      <c r="C972" s="2"/>
      <c r="D972" s="2"/>
      <c r="E972" s="2"/>
      <c r="H972" s="2"/>
      <c r="I972" s="3"/>
    </row>
    <row r="973" spans="2:9" ht="12.75">
      <c r="B973" s="2"/>
      <c r="C973" s="2"/>
      <c r="D973" s="2"/>
      <c r="E973" s="2"/>
      <c r="H973" s="2"/>
      <c r="I973" s="3"/>
    </row>
    <row r="974" spans="2:9" ht="12.75">
      <c r="B974" s="2"/>
      <c r="C974" s="2"/>
      <c r="D974" s="2"/>
      <c r="E974" s="2"/>
      <c r="H974" s="2"/>
      <c r="I974" s="3"/>
    </row>
    <row r="975" spans="2:9" ht="12.75">
      <c r="B975" s="2"/>
      <c r="C975" s="2"/>
      <c r="D975" s="2"/>
      <c r="E975" s="2"/>
      <c r="H975" s="2"/>
      <c r="I975" s="3"/>
    </row>
    <row r="976" spans="2:9" ht="12.75">
      <c r="B976" s="2"/>
      <c r="C976" s="2"/>
      <c r="D976" s="2"/>
      <c r="E976" s="2"/>
      <c r="H976" s="2"/>
      <c r="I976" s="3"/>
    </row>
    <row r="977" spans="2:9" ht="12.75">
      <c r="B977" s="2"/>
      <c r="C977" s="2"/>
      <c r="D977" s="2"/>
      <c r="E977" s="2"/>
      <c r="H977" s="2"/>
      <c r="I977" s="3"/>
    </row>
    <row r="978" spans="2:9" ht="12.75">
      <c r="B978" s="2"/>
      <c r="C978" s="2"/>
      <c r="D978" s="2"/>
      <c r="E978" s="2"/>
      <c r="H978" s="2"/>
      <c r="I978" s="3"/>
    </row>
    <row r="979" spans="2:9" ht="12.75">
      <c r="B979" s="2"/>
      <c r="C979" s="2"/>
      <c r="D979" s="2"/>
      <c r="E979" s="2"/>
      <c r="H979" s="2"/>
      <c r="I979" s="3"/>
    </row>
    <row r="980" spans="2:9" ht="12.75">
      <c r="B980" s="2"/>
      <c r="C980" s="2"/>
      <c r="D980" s="2"/>
      <c r="E980" s="2"/>
      <c r="H980" s="2"/>
      <c r="I980" s="3"/>
    </row>
    <row r="981" spans="2:9" ht="12.75">
      <c r="B981" s="2"/>
      <c r="C981" s="2"/>
      <c r="D981" s="2"/>
      <c r="E981" s="2"/>
      <c r="H981" s="2"/>
      <c r="I981" s="3"/>
    </row>
    <row r="982" spans="2:9" ht="12.75">
      <c r="B982" s="2"/>
      <c r="C982" s="2"/>
      <c r="D982" s="2"/>
      <c r="E982" s="2"/>
      <c r="H982" s="2"/>
      <c r="I982" s="3"/>
    </row>
    <row r="983" spans="2:9" ht="12.75">
      <c r="B983" s="2"/>
      <c r="C983" s="2"/>
      <c r="D983" s="2"/>
      <c r="E983" s="2"/>
      <c r="H983" s="2"/>
      <c r="I983" s="3"/>
    </row>
    <row r="984" spans="2:9" ht="12.75">
      <c r="B984" s="2"/>
      <c r="C984" s="2"/>
      <c r="D984" s="2"/>
      <c r="E984" s="2"/>
      <c r="H984" s="2"/>
      <c r="I984" s="3"/>
    </row>
    <row r="985" spans="2:9" ht="12.75">
      <c r="B985" s="2"/>
      <c r="C985" s="2"/>
      <c r="D985" s="2"/>
      <c r="E985" s="2"/>
      <c r="H985" s="2"/>
      <c r="I985" s="3"/>
    </row>
    <row r="986" spans="2:9" ht="12.75">
      <c r="B986" s="2"/>
      <c r="C986" s="2"/>
      <c r="D986" s="2"/>
      <c r="E986" s="2"/>
      <c r="H986" s="2"/>
      <c r="I986" s="3"/>
    </row>
    <row r="987" spans="2:9" ht="12.75">
      <c r="B987" s="2"/>
      <c r="C987" s="2"/>
      <c r="D987" s="2"/>
      <c r="E987" s="2"/>
      <c r="H987" s="2"/>
      <c r="I987" s="3"/>
    </row>
    <row r="988" spans="2:9" ht="12.75">
      <c r="B988" s="2"/>
      <c r="C988" s="2"/>
      <c r="D988" s="2"/>
      <c r="E988" s="2"/>
      <c r="H988" s="2"/>
      <c r="I988" s="3"/>
    </row>
    <row r="989" spans="2:9" ht="12.75">
      <c r="B989" s="2"/>
      <c r="C989" s="2"/>
      <c r="D989" s="2"/>
      <c r="E989" s="2"/>
      <c r="H989" s="2"/>
      <c r="I989" s="3"/>
    </row>
    <row r="990" spans="2:9" ht="12.75">
      <c r="B990" s="2"/>
      <c r="C990" s="2"/>
      <c r="D990" s="2"/>
      <c r="E990" s="2"/>
      <c r="H990" s="2"/>
      <c r="I990" s="3"/>
    </row>
    <row r="991" spans="2:9" ht="12.75">
      <c r="B991" s="2"/>
      <c r="C991" s="2"/>
      <c r="D991" s="2"/>
      <c r="E991" s="2"/>
      <c r="H991" s="2"/>
      <c r="I991" s="3"/>
    </row>
    <row r="992" spans="2:9" ht="12.75">
      <c r="B992" s="2"/>
      <c r="C992" s="2"/>
      <c r="D992" s="2"/>
      <c r="E992" s="2"/>
      <c r="H992" s="2"/>
      <c r="I992" s="3"/>
    </row>
    <row r="993" spans="2:9" ht="12.75">
      <c r="B993" s="2"/>
      <c r="C993" s="2"/>
      <c r="D993" s="2"/>
      <c r="E993" s="2"/>
      <c r="H993" s="2"/>
      <c r="I993" s="3"/>
    </row>
    <row r="994" spans="2:9" ht="12.75">
      <c r="B994" s="2"/>
      <c r="C994" s="2"/>
      <c r="D994" s="2"/>
      <c r="E994" s="2"/>
      <c r="H994" s="2"/>
      <c r="I994" s="3"/>
    </row>
    <row r="995" spans="2:9" ht="12.75">
      <c r="B995" s="2"/>
      <c r="C995" s="2"/>
      <c r="D995" s="2"/>
      <c r="E995" s="2"/>
      <c r="H995" s="2"/>
      <c r="I995" s="3"/>
    </row>
    <row r="996" spans="2:9" ht="12.75">
      <c r="B996" s="2"/>
      <c r="C996" s="2"/>
      <c r="D996" s="2"/>
      <c r="E996" s="2"/>
      <c r="H996" s="2"/>
      <c r="I996" s="3"/>
    </row>
    <row r="997" spans="2:9" ht="12.75">
      <c r="B997" s="2"/>
      <c r="C997" s="2"/>
      <c r="D997" s="2"/>
      <c r="E997" s="2"/>
      <c r="H997" s="2"/>
      <c r="I997" s="3"/>
    </row>
    <row r="998" spans="2:9" ht="12.75">
      <c r="B998" s="2"/>
      <c r="C998" s="2"/>
      <c r="D998" s="2"/>
      <c r="E998" s="2"/>
      <c r="H998" s="2"/>
      <c r="I998" s="3"/>
    </row>
    <row r="999" spans="2:9" ht="12.75">
      <c r="B999" s="2"/>
      <c r="C999" s="2"/>
      <c r="D999" s="2"/>
      <c r="E999" s="2"/>
      <c r="H999" s="2"/>
      <c r="I999" s="3"/>
    </row>
    <row r="1000" spans="2:9" ht="12.75">
      <c r="B1000" s="2"/>
      <c r="C1000" s="2"/>
      <c r="D1000" s="2"/>
      <c r="E1000" s="2"/>
      <c r="H1000" s="2"/>
      <c r="I1000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W999"/>
  <sheetViews>
    <sheetView workbookViewId="0"/>
  </sheetViews>
  <sheetFormatPr defaultColWidth="12.5703125" defaultRowHeight="15.75" customHeight="1"/>
  <cols>
    <col min="1" max="1" width="19.5703125" customWidth="1"/>
    <col min="2" max="2" width="1.7109375" customWidth="1"/>
    <col min="3" max="4" width="6.7109375" customWidth="1"/>
    <col min="5" max="5" width="7.7109375" customWidth="1"/>
    <col min="6" max="9" width="6.7109375" customWidth="1"/>
    <col min="10" max="10" width="7.42578125" customWidth="1"/>
    <col min="11" max="11" width="6.7109375" customWidth="1"/>
    <col min="12" max="12" width="11.28515625" customWidth="1"/>
    <col min="13" max="13" width="13.85546875" customWidth="1"/>
  </cols>
  <sheetData>
    <row r="1" spans="1:23" ht="12.75">
      <c r="A1" s="30" t="s">
        <v>368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30" t="s">
        <v>54</v>
      </c>
      <c r="B2" s="33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34" t="s">
        <v>10</v>
      </c>
      <c r="J2" s="34" t="s">
        <v>11</v>
      </c>
      <c r="K2" s="34" t="s">
        <v>12</v>
      </c>
      <c r="L2" s="34" t="s">
        <v>426</v>
      </c>
      <c r="M2" s="35" t="s">
        <v>425</v>
      </c>
    </row>
    <row r="3" spans="1:23" ht="12.75">
      <c r="A3" s="33" t="s">
        <v>55</v>
      </c>
      <c r="B3" s="36">
        <v>271</v>
      </c>
      <c r="C3" s="37"/>
      <c r="D3" s="37"/>
      <c r="E3" s="37"/>
      <c r="F3" s="37"/>
      <c r="G3" s="37">
        <v>196</v>
      </c>
      <c r="H3" s="37"/>
      <c r="I3" s="37">
        <v>523</v>
      </c>
      <c r="J3" s="37">
        <v>302</v>
      </c>
      <c r="K3" s="37"/>
      <c r="L3" s="37"/>
      <c r="M3" s="38">
        <v>1292</v>
      </c>
    </row>
    <row r="4" spans="1:23" ht="12.75">
      <c r="A4" s="39" t="s">
        <v>56</v>
      </c>
      <c r="B4" s="40">
        <v>275</v>
      </c>
      <c r="C4" s="41">
        <v>163</v>
      </c>
      <c r="D4" s="41"/>
      <c r="E4" s="41"/>
      <c r="F4" s="41">
        <v>262</v>
      </c>
      <c r="G4" s="41">
        <v>234</v>
      </c>
      <c r="H4" s="41"/>
      <c r="I4" s="41"/>
      <c r="J4" s="41"/>
      <c r="K4" s="41">
        <v>182</v>
      </c>
      <c r="L4" s="41"/>
      <c r="M4" s="42">
        <v>1116</v>
      </c>
    </row>
    <row r="5" spans="1:23" ht="12.75">
      <c r="A5" s="39" t="s">
        <v>57</v>
      </c>
      <c r="B5" s="40">
        <v>279</v>
      </c>
      <c r="C5" s="41">
        <v>141</v>
      </c>
      <c r="D5" s="41"/>
      <c r="E5" s="41"/>
      <c r="F5" s="41">
        <v>245</v>
      </c>
      <c r="G5" s="41"/>
      <c r="H5" s="41">
        <v>260</v>
      </c>
      <c r="I5" s="41"/>
      <c r="J5" s="41"/>
      <c r="K5" s="41">
        <v>168</v>
      </c>
      <c r="L5" s="41"/>
      <c r="M5" s="42">
        <v>1093</v>
      </c>
    </row>
    <row r="6" spans="1:23" ht="12.75">
      <c r="A6" s="39" t="s">
        <v>58</v>
      </c>
      <c r="B6" s="40">
        <v>283</v>
      </c>
      <c r="C6" s="41"/>
      <c r="D6" s="41"/>
      <c r="E6" s="41">
        <v>278</v>
      </c>
      <c r="F6" s="41">
        <v>264</v>
      </c>
      <c r="G6" s="41">
        <v>227</v>
      </c>
      <c r="H6" s="41"/>
      <c r="I6" s="41"/>
      <c r="J6" s="41"/>
      <c r="K6" s="41"/>
      <c r="L6" s="41"/>
      <c r="M6" s="42">
        <v>1052</v>
      </c>
    </row>
    <row r="7" spans="1:23" ht="18" customHeight="1">
      <c r="A7" s="39" t="s">
        <v>204</v>
      </c>
      <c r="B7" s="40"/>
      <c r="C7" s="41"/>
      <c r="D7" s="41">
        <v>520</v>
      </c>
      <c r="E7" s="41">
        <v>271</v>
      </c>
      <c r="F7" s="41">
        <v>233</v>
      </c>
      <c r="G7" s="41"/>
      <c r="H7" s="41"/>
      <c r="I7" s="41"/>
      <c r="J7" s="41"/>
      <c r="K7" s="41"/>
      <c r="L7" s="41"/>
      <c r="M7" s="42">
        <v>1024</v>
      </c>
    </row>
    <row r="8" spans="1:23" ht="12.75">
      <c r="A8" s="39" t="s">
        <v>59</v>
      </c>
      <c r="B8" s="40"/>
      <c r="C8" s="41">
        <v>158</v>
      </c>
      <c r="D8" s="41">
        <v>589</v>
      </c>
      <c r="E8" s="41"/>
      <c r="F8" s="41">
        <v>268</v>
      </c>
      <c r="G8" s="41"/>
      <c r="H8" s="41"/>
      <c r="I8" s="41"/>
      <c r="J8" s="41"/>
      <c r="K8" s="41"/>
      <c r="L8" s="41"/>
      <c r="M8" s="42">
        <v>1015</v>
      </c>
    </row>
    <row r="9" spans="1:23" ht="12.75">
      <c r="A9" s="39" t="s">
        <v>60</v>
      </c>
      <c r="B9" s="40">
        <v>268</v>
      </c>
      <c r="C9" s="41"/>
      <c r="D9" s="41"/>
      <c r="E9" s="41"/>
      <c r="F9" s="41">
        <v>266</v>
      </c>
      <c r="G9" s="41">
        <v>248</v>
      </c>
      <c r="H9" s="41"/>
      <c r="I9" s="41"/>
      <c r="J9" s="41"/>
      <c r="K9" s="41">
        <v>189</v>
      </c>
      <c r="L9" s="41"/>
      <c r="M9" s="42">
        <v>971</v>
      </c>
    </row>
    <row r="10" spans="1:23" ht="12.75">
      <c r="A10" s="39" t="s">
        <v>61</v>
      </c>
      <c r="B10" s="40">
        <v>282</v>
      </c>
      <c r="C10" s="41">
        <v>174</v>
      </c>
      <c r="D10" s="41"/>
      <c r="E10" s="41"/>
      <c r="F10" s="41"/>
      <c r="G10" s="41">
        <v>262</v>
      </c>
      <c r="H10" s="41"/>
      <c r="I10" s="41"/>
      <c r="J10" s="41"/>
      <c r="K10" s="41">
        <v>181</v>
      </c>
      <c r="L10" s="41"/>
      <c r="M10" s="42">
        <v>899</v>
      </c>
    </row>
    <row r="11" spans="1:23" ht="12.75">
      <c r="A11" s="39" t="s">
        <v>62</v>
      </c>
      <c r="B11" s="40"/>
      <c r="C11" s="41"/>
      <c r="D11" s="41"/>
      <c r="E11" s="41"/>
      <c r="F11" s="41"/>
      <c r="G11" s="41"/>
      <c r="H11" s="41"/>
      <c r="I11" s="41">
        <v>583</v>
      </c>
      <c r="J11" s="41">
        <v>313.20000000000005</v>
      </c>
      <c r="K11" s="41"/>
      <c r="L11" s="41"/>
      <c r="M11" s="42">
        <v>896.2</v>
      </c>
    </row>
    <row r="12" spans="1:23" ht="12.75">
      <c r="A12" s="39" t="s">
        <v>205</v>
      </c>
      <c r="B12" s="40"/>
      <c r="C12" s="41"/>
      <c r="D12" s="41"/>
      <c r="E12" s="41"/>
      <c r="F12" s="41"/>
      <c r="G12" s="41"/>
      <c r="H12" s="41"/>
      <c r="I12" s="41">
        <v>575</v>
      </c>
      <c r="J12" s="41">
        <v>307.89999999999998</v>
      </c>
      <c r="K12" s="41"/>
      <c r="L12" s="41"/>
      <c r="M12" s="42">
        <v>882.9</v>
      </c>
    </row>
    <row r="13" spans="1:23" ht="12.75">
      <c r="A13" s="39" t="s">
        <v>206</v>
      </c>
      <c r="B13" s="40"/>
      <c r="C13" s="41"/>
      <c r="D13" s="41"/>
      <c r="E13" s="41"/>
      <c r="F13" s="41"/>
      <c r="G13" s="41"/>
      <c r="H13" s="41"/>
      <c r="I13" s="41">
        <v>571</v>
      </c>
      <c r="J13" s="41">
        <v>304.7</v>
      </c>
      <c r="K13" s="41"/>
      <c r="L13" s="41"/>
      <c r="M13" s="42">
        <v>875.7</v>
      </c>
    </row>
    <row r="14" spans="1:23" ht="12.75">
      <c r="A14" s="39" t="s">
        <v>63</v>
      </c>
      <c r="B14" s="40">
        <v>266</v>
      </c>
      <c r="C14" s="41">
        <v>150</v>
      </c>
      <c r="D14" s="41"/>
      <c r="E14" s="41"/>
      <c r="F14" s="41">
        <v>265</v>
      </c>
      <c r="G14" s="41"/>
      <c r="H14" s="41"/>
      <c r="I14" s="41"/>
      <c r="J14" s="41"/>
      <c r="K14" s="41">
        <v>191</v>
      </c>
      <c r="L14" s="41"/>
      <c r="M14" s="42">
        <v>872</v>
      </c>
    </row>
    <row r="15" spans="1:23" ht="12.75">
      <c r="A15" s="39" t="s">
        <v>64</v>
      </c>
      <c r="B15" s="40"/>
      <c r="C15" s="41"/>
      <c r="D15" s="41"/>
      <c r="E15" s="41"/>
      <c r="F15" s="41"/>
      <c r="G15" s="41"/>
      <c r="H15" s="41"/>
      <c r="I15" s="41">
        <v>565</v>
      </c>
      <c r="J15" s="41">
        <v>304.2</v>
      </c>
      <c r="K15" s="41"/>
      <c r="L15" s="41"/>
      <c r="M15" s="42">
        <v>869.2</v>
      </c>
    </row>
    <row r="16" spans="1:23" ht="12.75">
      <c r="A16" s="39" t="s">
        <v>207</v>
      </c>
      <c r="B16" s="40"/>
      <c r="C16" s="41"/>
      <c r="D16" s="41"/>
      <c r="E16" s="41"/>
      <c r="F16" s="41"/>
      <c r="G16" s="41"/>
      <c r="H16" s="41"/>
      <c r="I16" s="41">
        <v>557</v>
      </c>
      <c r="J16" s="41">
        <v>307.59999999999997</v>
      </c>
      <c r="K16" s="41"/>
      <c r="L16" s="41"/>
      <c r="M16" s="42">
        <v>864.59999999999991</v>
      </c>
    </row>
    <row r="17" spans="1:13" ht="12.75">
      <c r="A17" s="39" t="s">
        <v>310</v>
      </c>
      <c r="B17" s="40"/>
      <c r="C17" s="41"/>
      <c r="D17" s="41"/>
      <c r="E17" s="41"/>
      <c r="F17" s="41"/>
      <c r="G17" s="41"/>
      <c r="H17" s="41"/>
      <c r="I17" s="41">
        <v>561</v>
      </c>
      <c r="J17" s="41">
        <v>301.3</v>
      </c>
      <c r="K17" s="41"/>
      <c r="L17" s="41"/>
      <c r="M17" s="42">
        <v>862.3</v>
      </c>
    </row>
    <row r="18" spans="1:13" ht="12.75">
      <c r="A18" s="39" t="s">
        <v>253</v>
      </c>
      <c r="B18" s="40"/>
      <c r="C18" s="41"/>
      <c r="D18" s="41">
        <v>574</v>
      </c>
      <c r="E18" s="41">
        <v>285</v>
      </c>
      <c r="F18" s="41"/>
      <c r="G18" s="41"/>
      <c r="H18" s="41"/>
      <c r="I18" s="41"/>
      <c r="J18" s="41"/>
      <c r="K18" s="41"/>
      <c r="L18" s="41"/>
      <c r="M18" s="42">
        <v>859</v>
      </c>
    </row>
    <row r="19" spans="1:13" ht="12.75">
      <c r="A19" s="39" t="s">
        <v>65</v>
      </c>
      <c r="B19" s="40"/>
      <c r="C19" s="41"/>
      <c r="D19" s="41"/>
      <c r="E19" s="41"/>
      <c r="F19" s="41"/>
      <c r="G19" s="41"/>
      <c r="H19" s="41"/>
      <c r="I19" s="41">
        <v>554</v>
      </c>
      <c r="J19" s="41">
        <v>303.39999999999998</v>
      </c>
      <c r="K19" s="41"/>
      <c r="L19" s="41"/>
      <c r="M19" s="42">
        <v>857.4</v>
      </c>
    </row>
    <row r="20" spans="1:13" ht="12.75">
      <c r="A20" s="39" t="s">
        <v>311</v>
      </c>
      <c r="B20" s="40"/>
      <c r="C20" s="41"/>
      <c r="D20" s="41"/>
      <c r="E20" s="41"/>
      <c r="F20" s="41"/>
      <c r="G20" s="41"/>
      <c r="H20" s="41"/>
      <c r="I20" s="41">
        <v>555</v>
      </c>
      <c r="J20" s="41">
        <v>299.20000000000005</v>
      </c>
      <c r="K20" s="41"/>
      <c r="L20" s="41"/>
      <c r="M20" s="42">
        <v>854.2</v>
      </c>
    </row>
    <row r="21" spans="1:13" ht="12.75">
      <c r="A21" s="39" t="s">
        <v>66</v>
      </c>
      <c r="B21" s="40">
        <v>280</v>
      </c>
      <c r="C21" s="41"/>
      <c r="D21" s="41"/>
      <c r="E21" s="41"/>
      <c r="F21" s="41"/>
      <c r="G21" s="41"/>
      <c r="H21" s="41"/>
      <c r="I21" s="41">
        <v>571</v>
      </c>
      <c r="J21" s="41"/>
      <c r="K21" s="41"/>
      <c r="L21" s="41"/>
      <c r="M21" s="42">
        <v>851</v>
      </c>
    </row>
    <row r="22" spans="1:13" ht="12.75">
      <c r="A22" s="39" t="s">
        <v>208</v>
      </c>
      <c r="B22" s="40"/>
      <c r="C22" s="41"/>
      <c r="D22" s="41">
        <v>562</v>
      </c>
      <c r="E22" s="41"/>
      <c r="F22" s="41">
        <v>285</v>
      </c>
      <c r="G22" s="41"/>
      <c r="H22" s="41"/>
      <c r="I22" s="41"/>
      <c r="J22" s="41"/>
      <c r="K22" s="41"/>
      <c r="L22" s="41"/>
      <c r="M22" s="42">
        <v>847</v>
      </c>
    </row>
    <row r="23" spans="1:13" ht="12.75">
      <c r="A23" s="39" t="s">
        <v>67</v>
      </c>
      <c r="B23" s="40"/>
      <c r="C23" s="41"/>
      <c r="D23" s="41">
        <v>577</v>
      </c>
      <c r="E23" s="41"/>
      <c r="F23" s="41">
        <v>270</v>
      </c>
      <c r="G23" s="41"/>
      <c r="H23" s="41"/>
      <c r="I23" s="41"/>
      <c r="J23" s="41"/>
      <c r="K23" s="41"/>
      <c r="L23" s="41"/>
      <c r="M23" s="42">
        <v>847</v>
      </c>
    </row>
    <row r="24" spans="1:13" ht="12.75">
      <c r="A24" s="39" t="s">
        <v>68</v>
      </c>
      <c r="B24" s="40"/>
      <c r="C24" s="41">
        <v>174</v>
      </c>
      <c r="D24" s="41"/>
      <c r="E24" s="41"/>
      <c r="F24" s="41"/>
      <c r="G24" s="41">
        <v>243</v>
      </c>
      <c r="H24" s="41">
        <v>250</v>
      </c>
      <c r="I24" s="41"/>
      <c r="J24" s="41"/>
      <c r="K24" s="41">
        <v>178</v>
      </c>
      <c r="L24" s="41"/>
      <c r="M24" s="42">
        <v>845</v>
      </c>
    </row>
    <row r="25" spans="1:13" ht="12.75">
      <c r="A25" s="39" t="s">
        <v>69</v>
      </c>
      <c r="B25" s="40"/>
      <c r="C25" s="41"/>
      <c r="D25" s="41">
        <v>555</v>
      </c>
      <c r="E25" s="41">
        <v>289</v>
      </c>
      <c r="F25" s="41"/>
      <c r="G25" s="41"/>
      <c r="H25" s="41"/>
      <c r="I25" s="41"/>
      <c r="J25" s="41"/>
      <c r="K25" s="41"/>
      <c r="L25" s="41"/>
      <c r="M25" s="42">
        <v>844</v>
      </c>
    </row>
    <row r="26" spans="1:13" ht="12.75">
      <c r="A26" s="39" t="s">
        <v>70</v>
      </c>
      <c r="B26" s="40"/>
      <c r="C26" s="41"/>
      <c r="D26" s="41"/>
      <c r="E26" s="41"/>
      <c r="F26" s="41"/>
      <c r="G26" s="41"/>
      <c r="H26" s="41"/>
      <c r="I26" s="41">
        <v>548</v>
      </c>
      <c r="J26" s="41">
        <v>290.3</v>
      </c>
      <c r="K26" s="41"/>
      <c r="L26" s="41"/>
      <c r="M26" s="42">
        <v>838.3</v>
      </c>
    </row>
    <row r="27" spans="1:13" ht="12.75">
      <c r="A27" s="39" t="s">
        <v>209</v>
      </c>
      <c r="B27" s="40">
        <v>274</v>
      </c>
      <c r="C27" s="41"/>
      <c r="D27" s="41"/>
      <c r="E27" s="41"/>
      <c r="F27" s="41"/>
      <c r="G27" s="41"/>
      <c r="H27" s="41"/>
      <c r="I27" s="41">
        <v>560</v>
      </c>
      <c r="J27" s="41"/>
      <c r="K27" s="41"/>
      <c r="L27" s="41"/>
      <c r="M27" s="42">
        <v>834</v>
      </c>
    </row>
    <row r="28" spans="1:13" ht="12.75">
      <c r="A28" s="39" t="s">
        <v>71</v>
      </c>
      <c r="B28" s="40">
        <v>279</v>
      </c>
      <c r="C28" s="41"/>
      <c r="D28" s="41"/>
      <c r="E28" s="41"/>
      <c r="F28" s="41"/>
      <c r="G28" s="41"/>
      <c r="H28" s="41"/>
      <c r="I28" s="41">
        <v>554</v>
      </c>
      <c r="J28" s="41"/>
      <c r="K28" s="41"/>
      <c r="L28" s="41"/>
      <c r="M28" s="42">
        <v>833</v>
      </c>
    </row>
    <row r="29" spans="1:13" ht="12.75">
      <c r="A29" s="39" t="s">
        <v>210</v>
      </c>
      <c r="B29" s="40">
        <v>262</v>
      </c>
      <c r="C29" s="41"/>
      <c r="D29" s="41"/>
      <c r="E29" s="41"/>
      <c r="F29" s="41"/>
      <c r="G29" s="41"/>
      <c r="H29" s="41"/>
      <c r="I29" s="41">
        <v>568</v>
      </c>
      <c r="J29" s="41"/>
      <c r="K29" s="41"/>
      <c r="L29" s="41"/>
      <c r="M29" s="42">
        <v>830</v>
      </c>
    </row>
    <row r="30" spans="1:13" ht="12.75">
      <c r="A30" s="39" t="s">
        <v>72</v>
      </c>
      <c r="B30" s="40">
        <v>284</v>
      </c>
      <c r="C30" s="41"/>
      <c r="D30" s="41"/>
      <c r="E30" s="41"/>
      <c r="F30" s="41"/>
      <c r="G30" s="41"/>
      <c r="H30" s="41"/>
      <c r="I30" s="41">
        <v>546</v>
      </c>
      <c r="J30" s="41"/>
      <c r="K30" s="41"/>
      <c r="L30" s="41"/>
      <c r="M30" s="42">
        <v>830</v>
      </c>
    </row>
    <row r="31" spans="1:13" ht="12.75">
      <c r="A31" s="39" t="s">
        <v>73</v>
      </c>
      <c r="B31" s="40"/>
      <c r="C31" s="41"/>
      <c r="D31" s="41"/>
      <c r="E31" s="41"/>
      <c r="F31" s="41"/>
      <c r="G31" s="41"/>
      <c r="H31" s="41"/>
      <c r="I31" s="41">
        <v>534</v>
      </c>
      <c r="J31" s="41">
        <v>293.40000000000003</v>
      </c>
      <c r="K31" s="41"/>
      <c r="L31" s="41"/>
      <c r="M31" s="42">
        <v>827.40000000000009</v>
      </c>
    </row>
    <row r="32" spans="1:13" ht="12.75">
      <c r="A32" s="39" t="s">
        <v>312</v>
      </c>
      <c r="B32" s="40"/>
      <c r="C32" s="41"/>
      <c r="D32" s="41"/>
      <c r="E32" s="41"/>
      <c r="F32" s="41"/>
      <c r="G32" s="41"/>
      <c r="H32" s="41"/>
      <c r="I32" s="41">
        <v>529</v>
      </c>
      <c r="J32" s="41">
        <v>298.10000000000002</v>
      </c>
      <c r="K32" s="41"/>
      <c r="L32" s="41"/>
      <c r="M32" s="42">
        <v>827.1</v>
      </c>
    </row>
    <row r="33" spans="1:13" ht="12.75">
      <c r="A33" s="39" t="s">
        <v>313</v>
      </c>
      <c r="B33" s="40"/>
      <c r="C33" s="41"/>
      <c r="D33" s="41"/>
      <c r="E33" s="41"/>
      <c r="F33" s="41"/>
      <c r="G33" s="41"/>
      <c r="H33" s="41"/>
      <c r="I33" s="41">
        <v>530</v>
      </c>
      <c r="J33" s="41">
        <v>292.7</v>
      </c>
      <c r="K33" s="41"/>
      <c r="L33" s="41"/>
      <c r="M33" s="42">
        <v>822.7</v>
      </c>
    </row>
    <row r="34" spans="1:13" ht="12.75">
      <c r="A34" s="39" t="s">
        <v>280</v>
      </c>
      <c r="B34" s="40"/>
      <c r="C34" s="41"/>
      <c r="D34" s="41">
        <v>548</v>
      </c>
      <c r="E34" s="41">
        <v>274</v>
      </c>
      <c r="F34" s="41"/>
      <c r="G34" s="41"/>
      <c r="H34" s="41"/>
      <c r="I34" s="41"/>
      <c r="J34" s="41"/>
      <c r="K34" s="41"/>
      <c r="L34" s="41"/>
      <c r="M34" s="42">
        <v>822</v>
      </c>
    </row>
    <row r="35" spans="1:13" ht="12.75">
      <c r="A35" s="39" t="s">
        <v>211</v>
      </c>
      <c r="B35" s="40"/>
      <c r="C35" s="41"/>
      <c r="D35" s="41"/>
      <c r="E35" s="41"/>
      <c r="F35" s="41"/>
      <c r="G35" s="41"/>
      <c r="H35" s="41"/>
      <c r="I35" s="41">
        <v>518</v>
      </c>
      <c r="J35" s="41">
        <v>297.20000000000005</v>
      </c>
      <c r="K35" s="41"/>
      <c r="L35" s="41"/>
      <c r="M35" s="42">
        <v>815.2</v>
      </c>
    </row>
    <row r="36" spans="1:13" ht="12.75">
      <c r="A36" s="39" t="s">
        <v>74</v>
      </c>
      <c r="B36" s="40"/>
      <c r="C36" s="41"/>
      <c r="D36" s="41">
        <v>543</v>
      </c>
      <c r="E36" s="41">
        <v>267</v>
      </c>
      <c r="F36" s="41"/>
      <c r="G36" s="41"/>
      <c r="H36" s="41"/>
      <c r="I36" s="41"/>
      <c r="J36" s="41"/>
      <c r="K36" s="41"/>
      <c r="L36" s="41"/>
      <c r="M36" s="42">
        <v>810</v>
      </c>
    </row>
    <row r="37" spans="1:13" ht="12.75">
      <c r="A37" s="39" t="s">
        <v>314</v>
      </c>
      <c r="B37" s="40"/>
      <c r="C37" s="41"/>
      <c r="D37" s="41"/>
      <c r="E37" s="41"/>
      <c r="F37" s="41"/>
      <c r="G37" s="41"/>
      <c r="H37" s="41"/>
      <c r="I37" s="41">
        <v>507</v>
      </c>
      <c r="J37" s="41">
        <v>299.70000000000005</v>
      </c>
      <c r="K37" s="41"/>
      <c r="L37" s="41"/>
      <c r="M37" s="42">
        <v>806.7</v>
      </c>
    </row>
    <row r="38" spans="1:13" ht="12.75">
      <c r="A38" s="39" t="s">
        <v>212</v>
      </c>
      <c r="B38" s="40"/>
      <c r="C38" s="41"/>
      <c r="D38" s="41"/>
      <c r="E38" s="41"/>
      <c r="F38" s="41"/>
      <c r="G38" s="41"/>
      <c r="H38" s="41"/>
      <c r="I38" s="41">
        <v>500</v>
      </c>
      <c r="J38" s="41">
        <v>299.2</v>
      </c>
      <c r="K38" s="41"/>
      <c r="L38" s="41"/>
      <c r="M38" s="42">
        <v>799.2</v>
      </c>
    </row>
    <row r="39" spans="1:13" ht="12.75">
      <c r="A39" s="39" t="s">
        <v>281</v>
      </c>
      <c r="B39" s="40"/>
      <c r="C39" s="41"/>
      <c r="D39" s="41"/>
      <c r="E39" s="41"/>
      <c r="F39" s="41"/>
      <c r="G39" s="41"/>
      <c r="H39" s="41"/>
      <c r="I39" s="41">
        <v>487</v>
      </c>
      <c r="J39" s="41">
        <v>283.5</v>
      </c>
      <c r="K39" s="41"/>
      <c r="L39" s="41"/>
      <c r="M39" s="42">
        <v>770.5</v>
      </c>
    </row>
    <row r="40" spans="1:13" ht="12.75">
      <c r="A40" s="39" t="s">
        <v>282</v>
      </c>
      <c r="B40" s="40"/>
      <c r="C40" s="41"/>
      <c r="D40" s="41"/>
      <c r="E40" s="41">
        <v>261</v>
      </c>
      <c r="F40" s="41"/>
      <c r="G40" s="41"/>
      <c r="H40" s="41"/>
      <c r="I40" s="41">
        <v>490</v>
      </c>
      <c r="J40" s="41"/>
      <c r="K40" s="41"/>
      <c r="L40" s="41"/>
      <c r="M40" s="42">
        <v>751</v>
      </c>
    </row>
    <row r="41" spans="1:13" ht="12.75">
      <c r="A41" s="39" t="s">
        <v>75</v>
      </c>
      <c r="B41" s="40">
        <v>263</v>
      </c>
      <c r="C41" s="41"/>
      <c r="D41" s="41"/>
      <c r="E41" s="41"/>
      <c r="F41" s="41"/>
      <c r="G41" s="41">
        <v>203</v>
      </c>
      <c r="H41" s="41"/>
      <c r="I41" s="41"/>
      <c r="J41" s="41">
        <v>269.79999999999995</v>
      </c>
      <c r="K41" s="41"/>
      <c r="L41" s="41"/>
      <c r="M41" s="42">
        <v>735.8</v>
      </c>
    </row>
    <row r="42" spans="1:13" ht="12.75">
      <c r="A42" s="39" t="s">
        <v>283</v>
      </c>
      <c r="B42" s="40"/>
      <c r="C42" s="41"/>
      <c r="D42" s="41"/>
      <c r="E42" s="41">
        <v>260</v>
      </c>
      <c r="F42" s="41"/>
      <c r="G42" s="41"/>
      <c r="H42" s="41"/>
      <c r="I42" s="41">
        <v>475</v>
      </c>
      <c r="J42" s="41"/>
      <c r="K42" s="41"/>
      <c r="L42" s="41"/>
      <c r="M42" s="42">
        <v>735</v>
      </c>
    </row>
    <row r="43" spans="1:13" ht="12.75">
      <c r="A43" s="39" t="s">
        <v>284</v>
      </c>
      <c r="B43" s="40"/>
      <c r="C43" s="41"/>
      <c r="D43" s="41"/>
      <c r="E43" s="41"/>
      <c r="F43" s="41"/>
      <c r="G43" s="41"/>
      <c r="H43" s="41"/>
      <c r="I43" s="41">
        <v>454</v>
      </c>
      <c r="J43" s="41">
        <v>275.8</v>
      </c>
      <c r="K43" s="41"/>
      <c r="L43" s="41"/>
      <c r="M43" s="42">
        <v>729.8</v>
      </c>
    </row>
    <row r="44" spans="1:13" ht="12.75">
      <c r="A44" s="39" t="s">
        <v>76</v>
      </c>
      <c r="B44" s="40"/>
      <c r="C44" s="41"/>
      <c r="D44" s="41">
        <v>505</v>
      </c>
      <c r="E44" s="41"/>
      <c r="F44" s="41"/>
      <c r="G44" s="41">
        <v>217</v>
      </c>
      <c r="H44" s="41"/>
      <c r="I44" s="41"/>
      <c r="J44" s="41"/>
      <c r="K44" s="41"/>
      <c r="L44" s="41"/>
      <c r="M44" s="42">
        <v>722</v>
      </c>
    </row>
    <row r="45" spans="1:13" ht="12.75">
      <c r="A45" s="39" t="s">
        <v>181</v>
      </c>
      <c r="B45" s="40">
        <v>237</v>
      </c>
      <c r="C45" s="41"/>
      <c r="D45" s="41"/>
      <c r="E45" s="41"/>
      <c r="F45" s="41"/>
      <c r="G45" s="41"/>
      <c r="H45" s="41"/>
      <c r="I45" s="41">
        <v>485</v>
      </c>
      <c r="J45" s="41"/>
      <c r="K45" s="41"/>
      <c r="L45" s="41"/>
      <c r="M45" s="42">
        <v>722</v>
      </c>
    </row>
    <row r="46" spans="1:13" ht="12.75">
      <c r="A46" s="39" t="s">
        <v>77</v>
      </c>
      <c r="B46" s="40"/>
      <c r="C46" s="41"/>
      <c r="D46" s="41"/>
      <c r="E46" s="41">
        <v>206</v>
      </c>
      <c r="F46" s="41"/>
      <c r="G46" s="41"/>
      <c r="H46" s="41"/>
      <c r="I46" s="41">
        <v>507</v>
      </c>
      <c r="J46" s="41"/>
      <c r="K46" s="41"/>
      <c r="L46" s="41"/>
      <c r="M46" s="42">
        <v>713</v>
      </c>
    </row>
    <row r="47" spans="1:13" ht="12.75">
      <c r="A47" s="39" t="s">
        <v>285</v>
      </c>
      <c r="B47" s="40"/>
      <c r="C47" s="41"/>
      <c r="D47" s="41"/>
      <c r="E47" s="41">
        <v>190</v>
      </c>
      <c r="F47" s="41"/>
      <c r="G47" s="41"/>
      <c r="H47" s="41"/>
      <c r="I47" s="41">
        <v>520</v>
      </c>
      <c r="J47" s="41"/>
      <c r="K47" s="41"/>
      <c r="L47" s="41"/>
      <c r="M47" s="42">
        <v>710</v>
      </c>
    </row>
    <row r="48" spans="1:13" ht="12.75">
      <c r="A48" s="39" t="s">
        <v>78</v>
      </c>
      <c r="B48" s="40">
        <v>281</v>
      </c>
      <c r="C48" s="41">
        <v>179</v>
      </c>
      <c r="D48" s="41"/>
      <c r="E48" s="41"/>
      <c r="F48" s="41"/>
      <c r="G48" s="41">
        <v>243</v>
      </c>
      <c r="H48" s="41"/>
      <c r="I48" s="41"/>
      <c r="J48" s="41"/>
      <c r="K48" s="41"/>
      <c r="L48" s="41"/>
      <c r="M48" s="42">
        <v>703</v>
      </c>
    </row>
    <row r="49" spans="1:13" ht="12.75">
      <c r="A49" s="39" t="s">
        <v>79</v>
      </c>
      <c r="B49" s="40"/>
      <c r="C49" s="41"/>
      <c r="D49" s="41"/>
      <c r="E49" s="41"/>
      <c r="F49" s="41"/>
      <c r="G49" s="41">
        <v>236</v>
      </c>
      <c r="H49" s="41"/>
      <c r="I49" s="41"/>
      <c r="J49" s="41">
        <v>280.10000000000002</v>
      </c>
      <c r="K49" s="41">
        <v>170</v>
      </c>
      <c r="L49" s="41"/>
      <c r="M49" s="42">
        <v>686.1</v>
      </c>
    </row>
    <row r="50" spans="1:13" ht="12.75">
      <c r="A50" s="39" t="s">
        <v>315</v>
      </c>
      <c r="B50" s="40"/>
      <c r="C50" s="41"/>
      <c r="D50" s="41"/>
      <c r="E50" s="41"/>
      <c r="F50" s="41"/>
      <c r="G50" s="41"/>
      <c r="H50" s="41"/>
      <c r="I50" s="41">
        <v>406</v>
      </c>
      <c r="J50" s="41">
        <v>273.39999999999998</v>
      </c>
      <c r="K50" s="41"/>
      <c r="L50" s="41"/>
      <c r="M50" s="42">
        <v>679.4</v>
      </c>
    </row>
    <row r="51" spans="1:13" ht="12.75">
      <c r="A51" s="39" t="s">
        <v>80</v>
      </c>
      <c r="B51" s="40"/>
      <c r="C51" s="41">
        <v>119</v>
      </c>
      <c r="D51" s="41"/>
      <c r="E51" s="41">
        <v>254</v>
      </c>
      <c r="F51" s="41"/>
      <c r="G51" s="41"/>
      <c r="H51" s="41">
        <v>288</v>
      </c>
      <c r="I51" s="41"/>
      <c r="J51" s="41"/>
      <c r="K51" s="41"/>
      <c r="L51" s="41"/>
      <c r="M51" s="42">
        <v>661</v>
      </c>
    </row>
    <row r="52" spans="1:13" ht="12.75">
      <c r="A52" s="39" t="s">
        <v>213</v>
      </c>
      <c r="B52" s="40">
        <v>253</v>
      </c>
      <c r="C52" s="41">
        <v>169</v>
      </c>
      <c r="D52" s="41"/>
      <c r="E52" s="41"/>
      <c r="F52" s="41"/>
      <c r="G52" s="41">
        <v>237</v>
      </c>
      <c r="H52" s="41"/>
      <c r="I52" s="41"/>
      <c r="J52" s="41"/>
      <c r="K52" s="41"/>
      <c r="L52" s="41"/>
      <c r="M52" s="42">
        <v>659</v>
      </c>
    </row>
    <row r="53" spans="1:13" ht="12.75">
      <c r="A53" s="39" t="s">
        <v>81</v>
      </c>
      <c r="B53" s="40"/>
      <c r="C53" s="41">
        <v>184</v>
      </c>
      <c r="D53" s="41"/>
      <c r="E53" s="41">
        <v>271</v>
      </c>
      <c r="F53" s="41"/>
      <c r="G53" s="41"/>
      <c r="H53" s="41"/>
      <c r="I53" s="41"/>
      <c r="J53" s="41"/>
      <c r="K53" s="41">
        <v>188</v>
      </c>
      <c r="L53" s="41"/>
      <c r="M53" s="42">
        <v>643</v>
      </c>
    </row>
    <row r="54" spans="1:13" ht="12.75">
      <c r="A54" s="39" t="s">
        <v>82</v>
      </c>
      <c r="B54" s="40"/>
      <c r="C54" s="41">
        <v>166</v>
      </c>
      <c r="D54" s="41"/>
      <c r="E54" s="41"/>
      <c r="F54" s="41"/>
      <c r="G54" s="41">
        <v>235</v>
      </c>
      <c r="H54" s="41">
        <v>240</v>
      </c>
      <c r="I54" s="41"/>
      <c r="J54" s="41"/>
      <c r="K54" s="41"/>
      <c r="L54" s="41"/>
      <c r="M54" s="42">
        <v>641</v>
      </c>
    </row>
    <row r="55" spans="1:13" ht="12.75">
      <c r="A55" s="39" t="s">
        <v>83</v>
      </c>
      <c r="B55" s="40"/>
      <c r="C55" s="41">
        <v>167</v>
      </c>
      <c r="D55" s="41"/>
      <c r="E55" s="41"/>
      <c r="F55" s="41">
        <v>259</v>
      </c>
      <c r="G55" s="41">
        <v>211</v>
      </c>
      <c r="H55" s="41"/>
      <c r="I55" s="41"/>
      <c r="J55" s="41"/>
      <c r="K55" s="41"/>
      <c r="L55" s="41"/>
      <c r="M55" s="42">
        <v>637</v>
      </c>
    </row>
    <row r="56" spans="1:13" ht="12.75">
      <c r="A56" s="39" t="s">
        <v>214</v>
      </c>
      <c r="B56" s="40">
        <v>263</v>
      </c>
      <c r="C56" s="41">
        <v>162</v>
      </c>
      <c r="D56" s="41"/>
      <c r="E56" s="41"/>
      <c r="F56" s="41"/>
      <c r="G56" s="41">
        <v>201</v>
      </c>
      <c r="H56" s="41"/>
      <c r="I56" s="41"/>
      <c r="J56" s="41"/>
      <c r="K56" s="41"/>
      <c r="L56" s="41"/>
      <c r="M56" s="42">
        <v>626</v>
      </c>
    </row>
    <row r="57" spans="1:13" ht="12.75">
      <c r="A57" s="39" t="s">
        <v>84</v>
      </c>
      <c r="B57" s="40">
        <v>265</v>
      </c>
      <c r="C57" s="41">
        <v>146</v>
      </c>
      <c r="D57" s="41"/>
      <c r="E57" s="41"/>
      <c r="F57" s="41"/>
      <c r="G57" s="41">
        <v>209</v>
      </c>
      <c r="H57" s="41"/>
      <c r="I57" s="41"/>
      <c r="J57" s="41"/>
      <c r="K57" s="41"/>
      <c r="L57" s="41"/>
      <c r="M57" s="42">
        <v>620</v>
      </c>
    </row>
    <row r="58" spans="1:13" ht="12.75">
      <c r="A58" s="39" t="s">
        <v>85</v>
      </c>
      <c r="B58" s="40">
        <v>259</v>
      </c>
      <c r="C58" s="41">
        <v>171</v>
      </c>
      <c r="D58" s="41"/>
      <c r="E58" s="41"/>
      <c r="F58" s="41"/>
      <c r="G58" s="41"/>
      <c r="H58" s="41"/>
      <c r="I58" s="41"/>
      <c r="J58" s="41"/>
      <c r="K58" s="41">
        <v>178</v>
      </c>
      <c r="L58" s="41"/>
      <c r="M58" s="42">
        <v>608</v>
      </c>
    </row>
    <row r="59" spans="1:13" ht="12.75">
      <c r="A59" s="39" t="s">
        <v>286</v>
      </c>
      <c r="B59" s="40"/>
      <c r="C59" s="41"/>
      <c r="D59" s="41"/>
      <c r="E59" s="41"/>
      <c r="F59" s="41"/>
      <c r="G59" s="41"/>
      <c r="H59" s="41"/>
      <c r="I59" s="41">
        <v>343</v>
      </c>
      <c r="J59" s="41">
        <v>250</v>
      </c>
      <c r="K59" s="41"/>
      <c r="L59" s="41"/>
      <c r="M59" s="42">
        <v>593</v>
      </c>
    </row>
    <row r="60" spans="1:13" ht="12.75">
      <c r="A60" s="39" t="s">
        <v>86</v>
      </c>
      <c r="B60" s="40"/>
      <c r="C60" s="41">
        <v>162</v>
      </c>
      <c r="D60" s="41"/>
      <c r="E60" s="41"/>
      <c r="F60" s="41"/>
      <c r="G60" s="41"/>
      <c r="H60" s="41">
        <v>266</v>
      </c>
      <c r="I60" s="41"/>
      <c r="J60" s="41"/>
      <c r="K60" s="41">
        <v>164</v>
      </c>
      <c r="L60" s="41"/>
      <c r="M60" s="42">
        <v>592</v>
      </c>
    </row>
    <row r="61" spans="1:13" ht="12.75">
      <c r="A61" s="39" t="s">
        <v>215</v>
      </c>
      <c r="B61" s="40"/>
      <c r="C61" s="41"/>
      <c r="D61" s="41">
        <v>355</v>
      </c>
      <c r="E61" s="41">
        <v>236</v>
      </c>
      <c r="F61" s="41"/>
      <c r="G61" s="41"/>
      <c r="H61" s="41"/>
      <c r="I61" s="41"/>
      <c r="J61" s="41"/>
      <c r="K61" s="41"/>
      <c r="L61" s="41"/>
      <c r="M61" s="42">
        <v>591</v>
      </c>
    </row>
    <row r="62" spans="1:13" ht="12.75">
      <c r="A62" s="39" t="s">
        <v>216</v>
      </c>
      <c r="B62" s="40"/>
      <c r="C62" s="41"/>
      <c r="D62" s="41"/>
      <c r="E62" s="41"/>
      <c r="F62" s="41"/>
      <c r="G62" s="41"/>
      <c r="H62" s="41"/>
      <c r="I62" s="41">
        <v>586</v>
      </c>
      <c r="J62" s="41"/>
      <c r="K62" s="41"/>
      <c r="L62" s="41"/>
      <c r="M62" s="42">
        <v>586</v>
      </c>
    </row>
    <row r="63" spans="1:13" ht="12.75">
      <c r="A63" s="39" t="s">
        <v>217</v>
      </c>
      <c r="B63" s="40"/>
      <c r="C63" s="41"/>
      <c r="D63" s="41"/>
      <c r="E63" s="41"/>
      <c r="F63" s="41"/>
      <c r="G63" s="41"/>
      <c r="H63" s="41"/>
      <c r="I63" s="41">
        <v>352</v>
      </c>
      <c r="J63" s="41">
        <v>232.99999999999997</v>
      </c>
      <c r="K63" s="41"/>
      <c r="L63" s="41"/>
      <c r="M63" s="42">
        <v>585</v>
      </c>
    </row>
    <row r="64" spans="1:13" ht="12.75">
      <c r="A64" s="39" t="s">
        <v>87</v>
      </c>
      <c r="B64" s="40"/>
      <c r="C64" s="41">
        <v>140</v>
      </c>
      <c r="D64" s="41"/>
      <c r="E64" s="41"/>
      <c r="F64" s="41">
        <v>256</v>
      </c>
      <c r="G64" s="41"/>
      <c r="H64" s="41"/>
      <c r="I64" s="41"/>
      <c r="J64" s="41"/>
      <c r="K64" s="41">
        <v>177</v>
      </c>
      <c r="L64" s="41"/>
      <c r="M64" s="42">
        <v>573</v>
      </c>
    </row>
    <row r="65" spans="1:13" ht="12.75">
      <c r="A65" s="39" t="s">
        <v>218</v>
      </c>
      <c r="B65" s="40"/>
      <c r="C65" s="41"/>
      <c r="D65" s="41">
        <v>568</v>
      </c>
      <c r="E65" s="41"/>
      <c r="F65" s="41"/>
      <c r="G65" s="41"/>
      <c r="H65" s="41"/>
      <c r="I65" s="41"/>
      <c r="J65" s="41"/>
      <c r="K65" s="41"/>
      <c r="L65" s="41"/>
      <c r="M65" s="42">
        <v>568</v>
      </c>
    </row>
    <row r="66" spans="1:13" ht="12.75">
      <c r="A66" s="39" t="s">
        <v>88</v>
      </c>
      <c r="B66" s="40">
        <v>262</v>
      </c>
      <c r="C66" s="41"/>
      <c r="D66" s="41"/>
      <c r="E66" s="41"/>
      <c r="F66" s="41"/>
      <c r="G66" s="41"/>
      <c r="H66" s="41"/>
      <c r="I66" s="41"/>
      <c r="J66" s="41">
        <v>304.79999999999995</v>
      </c>
      <c r="K66" s="41"/>
      <c r="L66" s="41"/>
      <c r="M66" s="42">
        <v>566.79999999999995</v>
      </c>
    </row>
    <row r="67" spans="1:13" ht="12.75">
      <c r="A67" s="39" t="s">
        <v>89</v>
      </c>
      <c r="B67" s="40"/>
      <c r="C67" s="41"/>
      <c r="D67" s="41">
        <v>268</v>
      </c>
      <c r="E67" s="41"/>
      <c r="F67" s="41"/>
      <c r="G67" s="41"/>
      <c r="H67" s="41">
        <v>297</v>
      </c>
      <c r="I67" s="41"/>
      <c r="J67" s="41"/>
      <c r="K67" s="41"/>
      <c r="L67" s="41"/>
      <c r="M67" s="42">
        <v>565</v>
      </c>
    </row>
    <row r="68" spans="1:13" ht="12.75">
      <c r="A68" s="39" t="s">
        <v>90</v>
      </c>
      <c r="B68" s="40"/>
      <c r="C68" s="41"/>
      <c r="D68" s="41">
        <v>564</v>
      </c>
      <c r="E68" s="41"/>
      <c r="F68" s="41"/>
      <c r="G68" s="41"/>
      <c r="H68" s="41"/>
      <c r="I68" s="41"/>
      <c r="J68" s="41"/>
      <c r="K68" s="41"/>
      <c r="L68" s="41"/>
      <c r="M68" s="42">
        <v>564</v>
      </c>
    </row>
    <row r="69" spans="1:13" ht="12.75">
      <c r="A69" s="39" t="s">
        <v>316</v>
      </c>
      <c r="B69" s="40"/>
      <c r="C69" s="41"/>
      <c r="D69" s="41"/>
      <c r="E69" s="41"/>
      <c r="F69" s="41"/>
      <c r="G69" s="41"/>
      <c r="H69" s="41"/>
      <c r="I69" s="41">
        <v>563</v>
      </c>
      <c r="J69" s="41"/>
      <c r="K69" s="41"/>
      <c r="L69" s="41"/>
      <c r="M69" s="42">
        <v>563</v>
      </c>
    </row>
    <row r="70" spans="1:13" ht="12.75">
      <c r="A70" s="39" t="s">
        <v>91</v>
      </c>
      <c r="B70" s="40"/>
      <c r="C70" s="41"/>
      <c r="D70" s="41"/>
      <c r="E70" s="41"/>
      <c r="F70" s="41"/>
      <c r="G70" s="41"/>
      <c r="H70" s="41"/>
      <c r="I70" s="41">
        <v>562</v>
      </c>
      <c r="J70" s="41"/>
      <c r="K70" s="41"/>
      <c r="L70" s="41"/>
      <c r="M70" s="42">
        <v>562</v>
      </c>
    </row>
    <row r="71" spans="1:13" ht="12.75">
      <c r="A71" s="39" t="s">
        <v>219</v>
      </c>
      <c r="B71" s="40"/>
      <c r="C71" s="41"/>
      <c r="D71" s="41">
        <v>558</v>
      </c>
      <c r="E71" s="41"/>
      <c r="F71" s="41"/>
      <c r="G71" s="41"/>
      <c r="H71" s="41"/>
      <c r="I71" s="41"/>
      <c r="J71" s="41"/>
      <c r="K71" s="41"/>
      <c r="L71" s="41"/>
      <c r="M71" s="42">
        <v>558</v>
      </c>
    </row>
    <row r="72" spans="1:13" ht="12.75">
      <c r="A72" s="39" t="s">
        <v>220</v>
      </c>
      <c r="B72" s="40"/>
      <c r="C72" s="41"/>
      <c r="D72" s="41"/>
      <c r="E72" s="41">
        <v>279</v>
      </c>
      <c r="F72" s="41">
        <v>272</v>
      </c>
      <c r="G72" s="41"/>
      <c r="H72" s="41"/>
      <c r="I72" s="41"/>
      <c r="J72" s="41"/>
      <c r="K72" s="41"/>
      <c r="L72" s="41"/>
      <c r="M72" s="42">
        <v>551</v>
      </c>
    </row>
    <row r="73" spans="1:13" ht="12.75">
      <c r="A73" s="39" t="s">
        <v>92</v>
      </c>
      <c r="B73" s="40">
        <v>228</v>
      </c>
      <c r="C73" s="41">
        <v>153</v>
      </c>
      <c r="D73" s="41"/>
      <c r="E73" s="41"/>
      <c r="F73" s="41"/>
      <c r="G73" s="41">
        <v>169</v>
      </c>
      <c r="H73" s="41"/>
      <c r="I73" s="41"/>
      <c r="J73" s="41"/>
      <c r="K73" s="41"/>
      <c r="L73" s="41"/>
      <c r="M73" s="42">
        <v>550</v>
      </c>
    </row>
    <row r="74" spans="1:13" ht="12.75">
      <c r="A74" s="39" t="s">
        <v>317</v>
      </c>
      <c r="B74" s="40"/>
      <c r="C74" s="41"/>
      <c r="D74" s="41"/>
      <c r="E74" s="41"/>
      <c r="F74" s="41"/>
      <c r="G74" s="41"/>
      <c r="H74" s="41"/>
      <c r="I74" s="41">
        <v>549</v>
      </c>
      <c r="J74" s="41"/>
      <c r="K74" s="41"/>
      <c r="L74" s="41"/>
      <c r="M74" s="42">
        <v>549</v>
      </c>
    </row>
    <row r="75" spans="1:13" ht="12.75">
      <c r="A75" s="39" t="s">
        <v>93</v>
      </c>
      <c r="B75" s="40"/>
      <c r="C75" s="41"/>
      <c r="D75" s="41"/>
      <c r="E75" s="41"/>
      <c r="F75" s="41"/>
      <c r="G75" s="41"/>
      <c r="H75" s="41"/>
      <c r="I75" s="41">
        <v>549</v>
      </c>
      <c r="J75" s="41"/>
      <c r="K75" s="41"/>
      <c r="L75" s="41"/>
      <c r="M75" s="42">
        <v>549</v>
      </c>
    </row>
    <row r="76" spans="1:13" ht="12.75">
      <c r="A76" s="39" t="s">
        <v>94</v>
      </c>
      <c r="B76" s="40"/>
      <c r="C76" s="41"/>
      <c r="D76" s="41"/>
      <c r="E76" s="41"/>
      <c r="F76" s="41"/>
      <c r="G76" s="41">
        <v>252</v>
      </c>
      <c r="H76" s="41"/>
      <c r="I76" s="41"/>
      <c r="J76" s="41">
        <v>294.89999999999998</v>
      </c>
      <c r="K76" s="41"/>
      <c r="L76" s="41"/>
      <c r="M76" s="42">
        <v>546.9</v>
      </c>
    </row>
    <row r="77" spans="1:13" ht="12.75">
      <c r="A77" s="39" t="s">
        <v>95</v>
      </c>
      <c r="B77" s="40"/>
      <c r="C77" s="41"/>
      <c r="D77" s="41"/>
      <c r="E77" s="41">
        <v>280</v>
      </c>
      <c r="F77" s="41">
        <v>265</v>
      </c>
      <c r="G77" s="41"/>
      <c r="H77" s="41"/>
      <c r="I77" s="41"/>
      <c r="J77" s="41"/>
      <c r="K77" s="41"/>
      <c r="L77" s="41"/>
      <c r="M77" s="42">
        <v>545</v>
      </c>
    </row>
    <row r="78" spans="1:13" ht="12.75">
      <c r="A78" s="39" t="s">
        <v>96</v>
      </c>
      <c r="B78" s="40"/>
      <c r="C78" s="41"/>
      <c r="D78" s="41"/>
      <c r="E78" s="41"/>
      <c r="F78" s="41"/>
      <c r="G78" s="41"/>
      <c r="H78" s="41"/>
      <c r="I78" s="41">
        <v>543</v>
      </c>
      <c r="J78" s="41"/>
      <c r="K78" s="41"/>
      <c r="L78" s="41"/>
      <c r="M78" s="42">
        <v>543</v>
      </c>
    </row>
    <row r="79" spans="1:13" ht="12.75">
      <c r="A79" s="39" t="s">
        <v>287</v>
      </c>
      <c r="B79" s="40"/>
      <c r="C79" s="41"/>
      <c r="D79" s="41">
        <v>542</v>
      </c>
      <c r="E79" s="41"/>
      <c r="F79" s="41"/>
      <c r="G79" s="41"/>
      <c r="H79" s="41"/>
      <c r="I79" s="41"/>
      <c r="J79" s="41"/>
      <c r="K79" s="41"/>
      <c r="L79" s="41"/>
      <c r="M79" s="42">
        <v>542</v>
      </c>
    </row>
    <row r="80" spans="1:13" ht="12.75">
      <c r="A80" s="39" t="s">
        <v>221</v>
      </c>
      <c r="B80" s="40"/>
      <c r="C80" s="41"/>
      <c r="D80" s="41">
        <v>541</v>
      </c>
      <c r="E80" s="41"/>
      <c r="F80" s="41"/>
      <c r="G80" s="41"/>
      <c r="H80" s="41"/>
      <c r="I80" s="41"/>
      <c r="J80" s="41"/>
      <c r="K80" s="41"/>
      <c r="L80" s="41"/>
      <c r="M80" s="42">
        <v>541</v>
      </c>
    </row>
    <row r="81" spans="1:13" ht="12.75">
      <c r="A81" s="39" t="s">
        <v>288</v>
      </c>
      <c r="B81" s="40"/>
      <c r="C81" s="41"/>
      <c r="D81" s="41"/>
      <c r="E81" s="41"/>
      <c r="F81" s="41"/>
      <c r="G81" s="41"/>
      <c r="H81" s="41"/>
      <c r="I81" s="41">
        <v>540</v>
      </c>
      <c r="J81" s="41"/>
      <c r="K81" s="41"/>
      <c r="L81" s="41"/>
      <c r="M81" s="42">
        <v>540</v>
      </c>
    </row>
    <row r="82" spans="1:13" ht="12.75">
      <c r="A82" s="39" t="s">
        <v>222</v>
      </c>
      <c r="B82" s="40"/>
      <c r="C82" s="41"/>
      <c r="D82" s="41">
        <v>539</v>
      </c>
      <c r="E82" s="41"/>
      <c r="F82" s="41"/>
      <c r="G82" s="41"/>
      <c r="H82" s="41"/>
      <c r="I82" s="41"/>
      <c r="J82" s="41"/>
      <c r="K82" s="41"/>
      <c r="L82" s="41"/>
      <c r="M82" s="42">
        <v>539</v>
      </c>
    </row>
    <row r="83" spans="1:13" ht="12.75">
      <c r="A83" s="39" t="s">
        <v>97</v>
      </c>
      <c r="B83" s="40"/>
      <c r="C83" s="41">
        <v>141</v>
      </c>
      <c r="D83" s="41">
        <v>397</v>
      </c>
      <c r="E83" s="41"/>
      <c r="F83" s="41"/>
      <c r="G83" s="41"/>
      <c r="H83" s="41"/>
      <c r="I83" s="41"/>
      <c r="J83" s="41"/>
      <c r="K83" s="41"/>
      <c r="L83" s="41"/>
      <c r="M83" s="42">
        <v>538</v>
      </c>
    </row>
    <row r="84" spans="1:13" ht="12.75">
      <c r="A84" s="39" t="s">
        <v>98</v>
      </c>
      <c r="B84" s="40">
        <v>269</v>
      </c>
      <c r="C84" s="41"/>
      <c r="D84" s="41"/>
      <c r="E84" s="41"/>
      <c r="F84" s="41">
        <v>269</v>
      </c>
      <c r="G84" s="41"/>
      <c r="H84" s="41"/>
      <c r="I84" s="41"/>
      <c r="J84" s="41"/>
      <c r="K84" s="41"/>
      <c r="L84" s="41"/>
      <c r="M84" s="42">
        <v>538</v>
      </c>
    </row>
    <row r="85" spans="1:13" ht="12.75">
      <c r="A85" s="39" t="s">
        <v>99</v>
      </c>
      <c r="B85" s="40"/>
      <c r="C85" s="41">
        <v>141</v>
      </c>
      <c r="D85" s="41"/>
      <c r="E85" s="41"/>
      <c r="F85" s="41"/>
      <c r="G85" s="41"/>
      <c r="H85" s="41"/>
      <c r="I85" s="41">
        <v>396</v>
      </c>
      <c r="J85" s="41"/>
      <c r="K85" s="41"/>
      <c r="L85" s="41"/>
      <c r="M85" s="42">
        <v>537</v>
      </c>
    </row>
    <row r="86" spans="1:13" ht="12.75">
      <c r="A86" s="39" t="s">
        <v>223</v>
      </c>
      <c r="B86" s="40">
        <v>288</v>
      </c>
      <c r="C86" s="41"/>
      <c r="D86" s="41"/>
      <c r="E86" s="41"/>
      <c r="F86" s="41"/>
      <c r="G86" s="41">
        <v>246</v>
      </c>
      <c r="H86" s="41"/>
      <c r="I86" s="41"/>
      <c r="J86" s="41"/>
      <c r="K86" s="41"/>
      <c r="L86" s="41"/>
      <c r="M86" s="42">
        <v>534</v>
      </c>
    </row>
    <row r="87" spans="1:13" ht="12.75">
      <c r="A87" s="39" t="s">
        <v>224</v>
      </c>
      <c r="B87" s="40">
        <v>270</v>
      </c>
      <c r="C87" s="41"/>
      <c r="D87" s="41"/>
      <c r="E87" s="41"/>
      <c r="F87" s="41"/>
      <c r="G87" s="41">
        <v>262</v>
      </c>
      <c r="H87" s="41"/>
      <c r="I87" s="41"/>
      <c r="J87" s="41"/>
      <c r="K87" s="41"/>
      <c r="L87" s="41"/>
      <c r="M87" s="42">
        <v>532</v>
      </c>
    </row>
    <row r="88" spans="1:13" ht="12.75">
      <c r="A88" s="39" t="s">
        <v>225</v>
      </c>
      <c r="B88" s="40"/>
      <c r="C88" s="41"/>
      <c r="D88" s="41">
        <v>299</v>
      </c>
      <c r="E88" s="41">
        <v>232</v>
      </c>
      <c r="F88" s="41"/>
      <c r="G88" s="41"/>
      <c r="H88" s="41"/>
      <c r="I88" s="41"/>
      <c r="J88" s="41"/>
      <c r="K88" s="41"/>
      <c r="L88" s="41"/>
      <c r="M88" s="42">
        <v>531</v>
      </c>
    </row>
    <row r="89" spans="1:13" ht="12.75">
      <c r="A89" s="39" t="s">
        <v>289</v>
      </c>
      <c r="B89" s="40"/>
      <c r="C89" s="41"/>
      <c r="D89" s="41">
        <v>529</v>
      </c>
      <c r="E89" s="41"/>
      <c r="F89" s="41"/>
      <c r="G89" s="41"/>
      <c r="H89" s="41"/>
      <c r="I89" s="41"/>
      <c r="J89" s="41"/>
      <c r="K89" s="41"/>
      <c r="L89" s="41"/>
      <c r="M89" s="42">
        <v>529</v>
      </c>
    </row>
    <row r="90" spans="1:13" ht="12.75">
      <c r="A90" s="39" t="s">
        <v>318</v>
      </c>
      <c r="B90" s="40"/>
      <c r="C90" s="41"/>
      <c r="D90" s="41"/>
      <c r="E90" s="41"/>
      <c r="F90" s="41"/>
      <c r="G90" s="41"/>
      <c r="H90" s="41"/>
      <c r="I90" s="41">
        <v>374</v>
      </c>
      <c r="J90" s="41">
        <v>153</v>
      </c>
      <c r="K90" s="41"/>
      <c r="L90" s="41"/>
      <c r="M90" s="42">
        <v>527</v>
      </c>
    </row>
    <row r="91" spans="1:13" ht="12.75">
      <c r="A91" s="39" t="s">
        <v>100</v>
      </c>
      <c r="B91" s="40">
        <v>273</v>
      </c>
      <c r="C91" s="41"/>
      <c r="D91" s="41"/>
      <c r="E91" s="41"/>
      <c r="F91" s="41">
        <v>254</v>
      </c>
      <c r="G91" s="41"/>
      <c r="H91" s="41"/>
      <c r="I91" s="41"/>
      <c r="J91" s="41"/>
      <c r="K91" s="41"/>
      <c r="L91" s="41"/>
      <c r="M91" s="42">
        <v>527</v>
      </c>
    </row>
    <row r="92" spans="1:13" ht="12.75">
      <c r="A92" s="39" t="s">
        <v>101</v>
      </c>
      <c r="B92" s="40"/>
      <c r="C92" s="41"/>
      <c r="D92" s="41"/>
      <c r="E92" s="41"/>
      <c r="F92" s="41">
        <v>259</v>
      </c>
      <c r="G92" s="41"/>
      <c r="H92" s="41">
        <v>267</v>
      </c>
      <c r="I92" s="41"/>
      <c r="J92" s="41"/>
      <c r="K92" s="41"/>
      <c r="L92" s="41"/>
      <c r="M92" s="42">
        <v>526</v>
      </c>
    </row>
    <row r="93" spans="1:13" ht="12.75">
      <c r="A93" s="39" t="s">
        <v>102</v>
      </c>
      <c r="B93" s="40"/>
      <c r="C93" s="41"/>
      <c r="D93" s="41">
        <v>276</v>
      </c>
      <c r="E93" s="41"/>
      <c r="F93" s="41">
        <v>249</v>
      </c>
      <c r="G93" s="41"/>
      <c r="H93" s="41"/>
      <c r="I93" s="41"/>
      <c r="J93" s="41"/>
      <c r="K93" s="41"/>
      <c r="L93" s="41"/>
      <c r="M93" s="42">
        <v>525</v>
      </c>
    </row>
    <row r="94" spans="1:13" ht="12.75">
      <c r="A94" s="39" t="s">
        <v>290</v>
      </c>
      <c r="B94" s="40"/>
      <c r="C94" s="41"/>
      <c r="D94" s="41"/>
      <c r="E94" s="41"/>
      <c r="F94" s="41"/>
      <c r="G94" s="41"/>
      <c r="H94" s="41"/>
      <c r="I94" s="41">
        <v>523</v>
      </c>
      <c r="J94" s="41"/>
      <c r="K94" s="41"/>
      <c r="L94" s="41"/>
      <c r="M94" s="42">
        <v>523</v>
      </c>
    </row>
    <row r="95" spans="1:13" ht="12.75">
      <c r="A95" s="39" t="s">
        <v>226</v>
      </c>
      <c r="B95" s="40">
        <v>257</v>
      </c>
      <c r="C95" s="41"/>
      <c r="D95" s="41"/>
      <c r="E95" s="41"/>
      <c r="F95" s="41">
        <v>266</v>
      </c>
      <c r="G95" s="41"/>
      <c r="H95" s="41"/>
      <c r="I95" s="41"/>
      <c r="J95" s="41"/>
      <c r="K95" s="41"/>
      <c r="L95" s="41"/>
      <c r="M95" s="42">
        <v>523</v>
      </c>
    </row>
    <row r="96" spans="1:13" ht="12.75">
      <c r="A96" s="39" t="s">
        <v>227</v>
      </c>
      <c r="B96" s="40"/>
      <c r="C96" s="41"/>
      <c r="D96" s="41"/>
      <c r="E96" s="41">
        <v>278</v>
      </c>
      <c r="F96" s="41">
        <v>243</v>
      </c>
      <c r="G96" s="41"/>
      <c r="H96" s="41"/>
      <c r="I96" s="41"/>
      <c r="J96" s="41"/>
      <c r="K96" s="41"/>
      <c r="L96" s="41"/>
      <c r="M96" s="42">
        <v>521</v>
      </c>
    </row>
    <row r="97" spans="1:13" ht="12.75">
      <c r="A97" s="39" t="s">
        <v>103</v>
      </c>
      <c r="B97" s="40"/>
      <c r="C97" s="41"/>
      <c r="D97" s="41"/>
      <c r="E97" s="41"/>
      <c r="F97" s="41">
        <v>274</v>
      </c>
      <c r="G97" s="41">
        <v>247</v>
      </c>
      <c r="H97" s="41"/>
      <c r="I97" s="41"/>
      <c r="J97" s="41"/>
      <c r="K97" s="41"/>
      <c r="L97" s="41"/>
      <c r="M97" s="42">
        <v>521</v>
      </c>
    </row>
    <row r="98" spans="1:13" ht="12.75">
      <c r="A98" s="39" t="s">
        <v>228</v>
      </c>
      <c r="B98" s="40"/>
      <c r="C98" s="41"/>
      <c r="D98" s="41"/>
      <c r="E98" s="41">
        <v>261</v>
      </c>
      <c r="F98" s="41">
        <v>259</v>
      </c>
      <c r="G98" s="41"/>
      <c r="H98" s="41"/>
      <c r="I98" s="41"/>
      <c r="J98" s="41"/>
      <c r="K98" s="41"/>
      <c r="L98" s="41"/>
      <c r="M98" s="42">
        <v>520</v>
      </c>
    </row>
    <row r="99" spans="1:13" ht="12.75">
      <c r="A99" s="39" t="s">
        <v>104</v>
      </c>
      <c r="B99" s="40">
        <v>240</v>
      </c>
      <c r="C99" s="41">
        <v>123</v>
      </c>
      <c r="D99" s="41"/>
      <c r="E99" s="41"/>
      <c r="F99" s="41"/>
      <c r="G99" s="41"/>
      <c r="H99" s="41"/>
      <c r="I99" s="41"/>
      <c r="J99" s="41"/>
      <c r="K99" s="41">
        <v>157</v>
      </c>
      <c r="L99" s="41"/>
      <c r="M99" s="42">
        <v>520</v>
      </c>
    </row>
    <row r="100" spans="1:13" ht="12.75">
      <c r="A100" s="39" t="s">
        <v>105</v>
      </c>
      <c r="B100" s="40">
        <v>278</v>
      </c>
      <c r="C100" s="41"/>
      <c r="D100" s="41"/>
      <c r="E100" s="41"/>
      <c r="F100" s="41"/>
      <c r="G100" s="41">
        <v>235</v>
      </c>
      <c r="H100" s="41"/>
      <c r="I100" s="41"/>
      <c r="J100" s="41"/>
      <c r="K100" s="41"/>
      <c r="L100" s="41"/>
      <c r="M100" s="42">
        <v>513</v>
      </c>
    </row>
    <row r="101" spans="1:13" ht="12.75">
      <c r="A101" s="39" t="s">
        <v>106</v>
      </c>
      <c r="B101" s="40">
        <v>270</v>
      </c>
      <c r="C101" s="41"/>
      <c r="D101" s="41"/>
      <c r="E101" s="41"/>
      <c r="F101" s="41"/>
      <c r="G101" s="41">
        <v>242</v>
      </c>
      <c r="H101" s="41"/>
      <c r="I101" s="41"/>
      <c r="J101" s="41"/>
      <c r="K101" s="41"/>
      <c r="L101" s="41"/>
      <c r="M101" s="42">
        <v>512</v>
      </c>
    </row>
    <row r="102" spans="1:13" ht="12.75">
      <c r="A102" s="39" t="s">
        <v>229</v>
      </c>
      <c r="B102" s="40"/>
      <c r="C102" s="41"/>
      <c r="D102" s="41"/>
      <c r="E102" s="41">
        <v>263</v>
      </c>
      <c r="F102" s="41">
        <v>247</v>
      </c>
      <c r="G102" s="41"/>
      <c r="H102" s="41"/>
      <c r="I102" s="41"/>
      <c r="J102" s="41"/>
      <c r="K102" s="41"/>
      <c r="L102" s="41"/>
      <c r="M102" s="42">
        <v>510</v>
      </c>
    </row>
    <row r="103" spans="1:13" ht="12.75">
      <c r="A103" s="39" t="s">
        <v>107</v>
      </c>
      <c r="B103" s="40">
        <v>274</v>
      </c>
      <c r="C103" s="41"/>
      <c r="D103" s="41"/>
      <c r="E103" s="41"/>
      <c r="F103" s="41"/>
      <c r="G103" s="41">
        <v>235</v>
      </c>
      <c r="H103" s="41"/>
      <c r="I103" s="41"/>
      <c r="J103" s="41"/>
      <c r="K103" s="41"/>
      <c r="L103" s="41"/>
      <c r="M103" s="42">
        <v>509</v>
      </c>
    </row>
    <row r="104" spans="1:13" ht="12.75">
      <c r="A104" s="39" t="s">
        <v>108</v>
      </c>
      <c r="B104" s="40">
        <v>259</v>
      </c>
      <c r="C104" s="41"/>
      <c r="D104" s="41"/>
      <c r="E104" s="41"/>
      <c r="F104" s="41"/>
      <c r="G104" s="41"/>
      <c r="H104" s="41">
        <v>248</v>
      </c>
      <c r="I104" s="41"/>
      <c r="J104" s="41"/>
      <c r="K104" s="41"/>
      <c r="L104" s="41"/>
      <c r="M104" s="42">
        <v>507</v>
      </c>
    </row>
    <row r="105" spans="1:13" ht="12.75">
      <c r="A105" s="39" t="s">
        <v>230</v>
      </c>
      <c r="B105" s="40"/>
      <c r="C105" s="41"/>
      <c r="D105" s="41"/>
      <c r="E105" s="41"/>
      <c r="F105" s="41">
        <v>223</v>
      </c>
      <c r="G105" s="41"/>
      <c r="H105" s="41"/>
      <c r="I105" s="41"/>
      <c r="J105" s="41">
        <v>281.10000000000002</v>
      </c>
      <c r="K105" s="41"/>
      <c r="L105" s="41"/>
      <c r="M105" s="42">
        <v>504.1</v>
      </c>
    </row>
    <row r="106" spans="1:13" ht="12.75">
      <c r="A106" s="39" t="s">
        <v>109</v>
      </c>
      <c r="B106" s="40"/>
      <c r="C106" s="41"/>
      <c r="D106" s="41"/>
      <c r="E106" s="41">
        <v>251</v>
      </c>
      <c r="F106" s="41">
        <v>251</v>
      </c>
      <c r="G106" s="41"/>
      <c r="H106" s="41"/>
      <c r="I106" s="41"/>
      <c r="J106" s="41"/>
      <c r="K106" s="41"/>
      <c r="L106" s="41"/>
      <c r="M106" s="42">
        <v>502</v>
      </c>
    </row>
    <row r="107" spans="1:13" ht="12.75">
      <c r="A107" s="39" t="s">
        <v>111</v>
      </c>
      <c r="B107" s="40"/>
      <c r="C107" s="41"/>
      <c r="D107" s="41"/>
      <c r="E107" s="41"/>
      <c r="F107" s="41">
        <v>261</v>
      </c>
      <c r="G107" s="41"/>
      <c r="H107" s="41">
        <v>241</v>
      </c>
      <c r="I107" s="41"/>
      <c r="J107" s="41"/>
      <c r="K107" s="41"/>
      <c r="L107" s="41"/>
      <c r="M107" s="42">
        <v>502</v>
      </c>
    </row>
    <row r="108" spans="1:13" ht="12.75">
      <c r="A108" s="39" t="s">
        <v>110</v>
      </c>
      <c r="B108" s="40"/>
      <c r="C108" s="41"/>
      <c r="D108" s="41"/>
      <c r="E108" s="41"/>
      <c r="F108" s="41"/>
      <c r="G108" s="41">
        <v>212</v>
      </c>
      <c r="H108" s="41">
        <v>290</v>
      </c>
      <c r="I108" s="41"/>
      <c r="J108" s="41"/>
      <c r="K108" s="41"/>
      <c r="L108" s="41"/>
      <c r="M108" s="42">
        <v>502</v>
      </c>
    </row>
    <row r="109" spans="1:13" ht="12.75">
      <c r="A109" s="39" t="s">
        <v>112</v>
      </c>
      <c r="B109" s="40">
        <v>272</v>
      </c>
      <c r="C109" s="41"/>
      <c r="D109" s="41"/>
      <c r="E109" s="41"/>
      <c r="F109" s="41"/>
      <c r="G109" s="41">
        <v>228</v>
      </c>
      <c r="H109" s="41"/>
      <c r="I109" s="41"/>
      <c r="J109" s="41"/>
      <c r="K109" s="41"/>
      <c r="L109" s="41"/>
      <c r="M109" s="42">
        <v>500</v>
      </c>
    </row>
    <row r="110" spans="1:13" ht="12.75">
      <c r="A110" s="39" t="s">
        <v>319</v>
      </c>
      <c r="B110" s="40"/>
      <c r="C110" s="41"/>
      <c r="D110" s="41">
        <v>498</v>
      </c>
      <c r="E110" s="41"/>
      <c r="F110" s="41"/>
      <c r="G110" s="41"/>
      <c r="H110" s="41"/>
      <c r="I110" s="41"/>
      <c r="J110" s="41"/>
      <c r="K110" s="41"/>
      <c r="L110" s="41"/>
      <c r="M110" s="42">
        <v>498</v>
      </c>
    </row>
    <row r="111" spans="1:13" ht="12.75">
      <c r="A111" s="39" t="s">
        <v>231</v>
      </c>
      <c r="B111" s="40"/>
      <c r="C111" s="41"/>
      <c r="D111" s="41"/>
      <c r="E111" s="41"/>
      <c r="F111" s="41"/>
      <c r="G111" s="41"/>
      <c r="H111" s="41"/>
      <c r="I111" s="41">
        <v>493</v>
      </c>
      <c r="J111" s="41"/>
      <c r="K111" s="41"/>
      <c r="L111" s="41"/>
      <c r="M111" s="42">
        <v>493</v>
      </c>
    </row>
    <row r="112" spans="1:13" ht="12.75">
      <c r="A112" s="39" t="s">
        <v>113</v>
      </c>
      <c r="B112" s="40">
        <v>256</v>
      </c>
      <c r="C112" s="41"/>
      <c r="D112" s="41"/>
      <c r="E112" s="41"/>
      <c r="F112" s="41"/>
      <c r="G112" s="41">
        <v>235</v>
      </c>
      <c r="H112" s="41"/>
      <c r="I112" s="41"/>
      <c r="J112" s="41"/>
      <c r="K112" s="41"/>
      <c r="L112" s="41"/>
      <c r="M112" s="42">
        <v>491</v>
      </c>
    </row>
    <row r="113" spans="1:13" ht="12.75">
      <c r="A113" s="39" t="s">
        <v>320</v>
      </c>
      <c r="B113" s="40"/>
      <c r="C113" s="41"/>
      <c r="D113" s="41"/>
      <c r="E113" s="41"/>
      <c r="F113" s="41"/>
      <c r="G113" s="41"/>
      <c r="H113" s="41"/>
      <c r="I113" s="41">
        <v>490</v>
      </c>
      <c r="J113" s="41"/>
      <c r="K113" s="41"/>
      <c r="L113" s="41"/>
      <c r="M113" s="42">
        <v>490</v>
      </c>
    </row>
    <row r="114" spans="1:13" ht="12.75">
      <c r="A114" s="39" t="s">
        <v>114</v>
      </c>
      <c r="B114" s="40"/>
      <c r="C114" s="41"/>
      <c r="D114" s="41">
        <v>489</v>
      </c>
      <c r="E114" s="41"/>
      <c r="F114" s="41"/>
      <c r="G114" s="41"/>
      <c r="H114" s="41"/>
      <c r="I114" s="41"/>
      <c r="J114" s="41"/>
      <c r="K114" s="41"/>
      <c r="L114" s="41"/>
      <c r="M114" s="42">
        <v>489</v>
      </c>
    </row>
    <row r="115" spans="1:13" ht="12.75">
      <c r="A115" s="39" t="s">
        <v>115</v>
      </c>
      <c r="B115" s="40"/>
      <c r="C115" s="41"/>
      <c r="D115" s="41"/>
      <c r="E115" s="41"/>
      <c r="F115" s="41">
        <v>264</v>
      </c>
      <c r="G115" s="41">
        <v>223</v>
      </c>
      <c r="H115" s="41"/>
      <c r="I115" s="41"/>
      <c r="J115" s="41"/>
      <c r="K115" s="41"/>
      <c r="L115" s="41"/>
      <c r="M115" s="42">
        <v>487</v>
      </c>
    </row>
    <row r="116" spans="1:13" ht="12.75">
      <c r="A116" s="39" t="s">
        <v>116</v>
      </c>
      <c r="B116" s="40">
        <v>270</v>
      </c>
      <c r="C116" s="41"/>
      <c r="D116" s="41"/>
      <c r="E116" s="41"/>
      <c r="F116" s="41"/>
      <c r="G116" s="41">
        <v>211</v>
      </c>
      <c r="H116" s="41"/>
      <c r="I116" s="41"/>
      <c r="J116" s="41"/>
      <c r="K116" s="41"/>
      <c r="L116" s="41"/>
      <c r="M116" s="42">
        <v>481</v>
      </c>
    </row>
    <row r="117" spans="1:13" ht="12.75">
      <c r="A117" s="39" t="s">
        <v>117</v>
      </c>
      <c r="B117" s="40">
        <v>241</v>
      </c>
      <c r="C117" s="41">
        <v>130</v>
      </c>
      <c r="D117" s="41"/>
      <c r="E117" s="41"/>
      <c r="F117" s="41"/>
      <c r="G117" s="41"/>
      <c r="H117" s="41"/>
      <c r="I117" s="41"/>
      <c r="J117" s="41"/>
      <c r="K117" s="41">
        <v>103</v>
      </c>
      <c r="L117" s="41"/>
      <c r="M117" s="42">
        <v>474</v>
      </c>
    </row>
    <row r="118" spans="1:13" ht="12.75">
      <c r="A118" s="39" t="s">
        <v>118</v>
      </c>
      <c r="B118" s="40"/>
      <c r="C118" s="41"/>
      <c r="D118" s="41">
        <v>469</v>
      </c>
      <c r="E118" s="41"/>
      <c r="F118" s="41"/>
      <c r="G118" s="41"/>
      <c r="H118" s="41"/>
      <c r="I118" s="41"/>
      <c r="J118" s="41"/>
      <c r="K118" s="41"/>
      <c r="L118" s="41"/>
      <c r="M118" s="42">
        <v>469</v>
      </c>
    </row>
    <row r="119" spans="1:13" ht="12.75">
      <c r="A119" s="39" t="s">
        <v>232</v>
      </c>
      <c r="B119" s="40"/>
      <c r="C119" s="41"/>
      <c r="D119" s="41"/>
      <c r="E119" s="41">
        <v>217</v>
      </c>
      <c r="F119" s="41">
        <v>250</v>
      </c>
      <c r="G119" s="41"/>
      <c r="H119" s="41"/>
      <c r="I119" s="41"/>
      <c r="J119" s="41"/>
      <c r="K119" s="41"/>
      <c r="L119" s="41"/>
      <c r="M119" s="42">
        <v>467</v>
      </c>
    </row>
    <row r="120" spans="1:13" ht="12.75">
      <c r="A120" s="39" t="s">
        <v>233</v>
      </c>
      <c r="B120" s="40"/>
      <c r="C120" s="41"/>
      <c r="D120" s="41"/>
      <c r="E120" s="41"/>
      <c r="F120" s="41"/>
      <c r="G120" s="41"/>
      <c r="H120" s="41"/>
      <c r="I120" s="41">
        <v>464</v>
      </c>
      <c r="J120" s="41"/>
      <c r="K120" s="41"/>
      <c r="L120" s="41"/>
      <c r="M120" s="42">
        <v>464</v>
      </c>
    </row>
    <row r="121" spans="1:13" ht="12.75">
      <c r="A121" s="39" t="s">
        <v>234</v>
      </c>
      <c r="B121" s="40">
        <v>258</v>
      </c>
      <c r="C121" s="41"/>
      <c r="D121" s="41"/>
      <c r="E121" s="41"/>
      <c r="F121" s="41"/>
      <c r="G121" s="41">
        <v>203</v>
      </c>
      <c r="H121" s="41"/>
      <c r="I121" s="41"/>
      <c r="J121" s="41"/>
      <c r="K121" s="41"/>
      <c r="L121" s="41"/>
      <c r="M121" s="42">
        <v>461</v>
      </c>
    </row>
    <row r="122" spans="1:13" ht="12.75">
      <c r="A122" s="39" t="s">
        <v>119</v>
      </c>
      <c r="B122" s="40">
        <v>269</v>
      </c>
      <c r="C122" s="41"/>
      <c r="D122" s="41"/>
      <c r="E122" s="41"/>
      <c r="F122" s="41"/>
      <c r="G122" s="41">
        <v>192</v>
      </c>
      <c r="H122" s="41"/>
      <c r="I122" s="41"/>
      <c r="J122" s="41"/>
      <c r="K122" s="41"/>
      <c r="L122" s="41"/>
      <c r="M122" s="42">
        <v>461</v>
      </c>
    </row>
    <row r="123" spans="1:13" ht="12.75">
      <c r="A123" s="39" t="s">
        <v>120</v>
      </c>
      <c r="B123" s="40"/>
      <c r="C123" s="41"/>
      <c r="D123" s="41"/>
      <c r="E123" s="41"/>
      <c r="F123" s="41"/>
      <c r="G123" s="41">
        <v>238</v>
      </c>
      <c r="H123" s="41">
        <v>221</v>
      </c>
      <c r="I123" s="41"/>
      <c r="J123" s="41"/>
      <c r="K123" s="41"/>
      <c r="L123" s="41"/>
      <c r="M123" s="42">
        <v>459</v>
      </c>
    </row>
    <row r="124" spans="1:13" ht="12.75">
      <c r="A124" s="39" t="s">
        <v>121</v>
      </c>
      <c r="B124" s="40">
        <v>279</v>
      </c>
      <c r="C124" s="41"/>
      <c r="D124" s="41"/>
      <c r="E124" s="41"/>
      <c r="F124" s="41"/>
      <c r="G124" s="41"/>
      <c r="H124" s="41"/>
      <c r="I124" s="41"/>
      <c r="J124" s="41"/>
      <c r="K124" s="41">
        <v>179</v>
      </c>
      <c r="L124" s="41"/>
      <c r="M124" s="42">
        <v>458</v>
      </c>
    </row>
    <row r="125" spans="1:13" ht="12.75">
      <c r="A125" s="39" t="s">
        <v>122</v>
      </c>
      <c r="B125" s="40">
        <v>260</v>
      </c>
      <c r="C125" s="41"/>
      <c r="D125" s="41"/>
      <c r="E125" s="41"/>
      <c r="F125" s="41"/>
      <c r="G125" s="41">
        <v>197</v>
      </c>
      <c r="H125" s="41"/>
      <c r="I125" s="41"/>
      <c r="J125" s="41"/>
      <c r="K125" s="41"/>
      <c r="L125" s="41"/>
      <c r="M125" s="42">
        <v>457</v>
      </c>
    </row>
    <row r="126" spans="1:13" ht="12.75">
      <c r="A126" s="39" t="s">
        <v>123</v>
      </c>
      <c r="B126" s="40">
        <v>233</v>
      </c>
      <c r="C126" s="41"/>
      <c r="D126" s="41"/>
      <c r="E126" s="41">
        <v>223</v>
      </c>
      <c r="F126" s="41"/>
      <c r="G126" s="41"/>
      <c r="H126" s="41"/>
      <c r="I126" s="41"/>
      <c r="J126" s="41"/>
      <c r="K126" s="41"/>
      <c r="L126" s="41"/>
      <c r="M126" s="42">
        <v>456</v>
      </c>
    </row>
    <row r="127" spans="1:13" ht="12.75">
      <c r="A127" s="39" t="s">
        <v>321</v>
      </c>
      <c r="B127" s="40"/>
      <c r="C127" s="41"/>
      <c r="D127" s="41"/>
      <c r="E127" s="41"/>
      <c r="F127" s="41"/>
      <c r="G127" s="41"/>
      <c r="H127" s="41"/>
      <c r="I127" s="41">
        <v>454</v>
      </c>
      <c r="J127" s="41"/>
      <c r="K127" s="41"/>
      <c r="L127" s="41"/>
      <c r="M127" s="42">
        <v>454</v>
      </c>
    </row>
    <row r="128" spans="1:13" ht="12.75">
      <c r="A128" s="39" t="s">
        <v>124</v>
      </c>
      <c r="B128" s="40">
        <v>231</v>
      </c>
      <c r="C128" s="41"/>
      <c r="D128" s="41"/>
      <c r="E128" s="41"/>
      <c r="F128" s="41"/>
      <c r="G128" s="41">
        <v>222</v>
      </c>
      <c r="H128" s="41"/>
      <c r="I128" s="41"/>
      <c r="J128" s="41"/>
      <c r="K128" s="41"/>
      <c r="L128" s="41"/>
      <c r="M128" s="42">
        <v>453</v>
      </c>
    </row>
    <row r="129" spans="1:13" ht="12.75">
      <c r="A129" s="39" t="s">
        <v>235</v>
      </c>
      <c r="B129" s="40">
        <v>215</v>
      </c>
      <c r="C129" s="41"/>
      <c r="D129" s="41"/>
      <c r="E129" s="41"/>
      <c r="F129" s="41">
        <v>237</v>
      </c>
      <c r="G129" s="41"/>
      <c r="H129" s="41"/>
      <c r="I129" s="41"/>
      <c r="J129" s="41"/>
      <c r="K129" s="41"/>
      <c r="L129" s="41"/>
      <c r="M129" s="42">
        <v>452</v>
      </c>
    </row>
    <row r="130" spans="1:13" ht="12.75">
      <c r="A130" s="39" t="s">
        <v>236</v>
      </c>
      <c r="B130" s="40">
        <v>252</v>
      </c>
      <c r="C130" s="41"/>
      <c r="D130" s="41"/>
      <c r="E130" s="41"/>
      <c r="F130" s="41"/>
      <c r="G130" s="41">
        <v>199</v>
      </c>
      <c r="H130" s="41"/>
      <c r="I130" s="41"/>
      <c r="J130" s="41"/>
      <c r="K130" s="41"/>
      <c r="L130" s="41"/>
      <c r="M130" s="42">
        <v>451</v>
      </c>
    </row>
    <row r="131" spans="1:13" ht="12.75">
      <c r="A131" s="39" t="s">
        <v>125</v>
      </c>
      <c r="B131" s="40">
        <v>252</v>
      </c>
      <c r="C131" s="41"/>
      <c r="D131" s="41"/>
      <c r="E131" s="41"/>
      <c r="F131" s="41"/>
      <c r="G131" s="41">
        <v>195</v>
      </c>
      <c r="H131" s="41"/>
      <c r="I131" s="41"/>
      <c r="J131" s="41"/>
      <c r="K131" s="41"/>
      <c r="L131" s="41"/>
      <c r="M131" s="42">
        <v>447</v>
      </c>
    </row>
    <row r="132" spans="1:13" ht="12.75">
      <c r="A132" s="39" t="s">
        <v>237</v>
      </c>
      <c r="B132" s="40"/>
      <c r="C132" s="41">
        <v>186</v>
      </c>
      <c r="D132" s="41"/>
      <c r="E132" s="41"/>
      <c r="F132" s="41"/>
      <c r="G132" s="41">
        <v>257</v>
      </c>
      <c r="H132" s="41"/>
      <c r="I132" s="41"/>
      <c r="J132" s="41"/>
      <c r="K132" s="41"/>
      <c r="L132" s="41"/>
      <c r="M132" s="42">
        <v>443</v>
      </c>
    </row>
    <row r="133" spans="1:13" ht="12.75">
      <c r="A133" s="39" t="s">
        <v>126</v>
      </c>
      <c r="B133" s="40"/>
      <c r="C133" s="41"/>
      <c r="D133" s="41"/>
      <c r="E133" s="41"/>
      <c r="F133" s="41">
        <v>224</v>
      </c>
      <c r="G133" s="41">
        <v>218</v>
      </c>
      <c r="H133" s="41"/>
      <c r="I133" s="41"/>
      <c r="J133" s="41"/>
      <c r="K133" s="41"/>
      <c r="L133" s="41"/>
      <c r="M133" s="42">
        <v>442</v>
      </c>
    </row>
    <row r="134" spans="1:13" ht="12.75">
      <c r="A134" s="39" t="s">
        <v>238</v>
      </c>
      <c r="B134" s="40"/>
      <c r="C134" s="41"/>
      <c r="D134" s="41"/>
      <c r="E134" s="41"/>
      <c r="F134" s="41"/>
      <c r="G134" s="41">
        <v>165</v>
      </c>
      <c r="H134" s="41"/>
      <c r="I134" s="41"/>
      <c r="J134" s="41">
        <v>276.89999999999998</v>
      </c>
      <c r="K134" s="41"/>
      <c r="L134" s="41"/>
      <c r="M134" s="42">
        <v>441.9</v>
      </c>
    </row>
    <row r="135" spans="1:13" ht="12.75">
      <c r="A135" s="39" t="s">
        <v>127</v>
      </c>
      <c r="B135" s="40"/>
      <c r="C135" s="41">
        <v>146</v>
      </c>
      <c r="D135" s="41"/>
      <c r="E135" s="41"/>
      <c r="F135" s="41"/>
      <c r="G135" s="41"/>
      <c r="H135" s="41">
        <v>295</v>
      </c>
      <c r="I135" s="41"/>
      <c r="J135" s="41"/>
      <c r="K135" s="41"/>
      <c r="L135" s="41"/>
      <c r="M135" s="42">
        <v>441</v>
      </c>
    </row>
    <row r="136" spans="1:13" ht="12.75">
      <c r="A136" s="39" t="s">
        <v>322</v>
      </c>
      <c r="B136" s="40"/>
      <c r="C136" s="41"/>
      <c r="D136" s="41"/>
      <c r="E136" s="41"/>
      <c r="F136" s="41"/>
      <c r="G136" s="41"/>
      <c r="H136" s="41"/>
      <c r="I136" s="41">
        <v>440</v>
      </c>
      <c r="J136" s="41"/>
      <c r="K136" s="41"/>
      <c r="L136" s="41"/>
      <c r="M136" s="42">
        <v>440</v>
      </c>
    </row>
    <row r="137" spans="1:13" ht="12.75">
      <c r="A137" s="39" t="s">
        <v>128</v>
      </c>
      <c r="B137" s="40">
        <v>269</v>
      </c>
      <c r="C137" s="41"/>
      <c r="D137" s="41"/>
      <c r="E137" s="41"/>
      <c r="F137" s="41"/>
      <c r="G137" s="41"/>
      <c r="H137" s="41"/>
      <c r="I137" s="41"/>
      <c r="J137" s="41"/>
      <c r="K137" s="41">
        <v>170</v>
      </c>
      <c r="L137" s="41"/>
      <c r="M137" s="42">
        <v>439</v>
      </c>
    </row>
    <row r="138" spans="1:13" ht="12.75">
      <c r="A138" s="39" t="s">
        <v>129</v>
      </c>
      <c r="B138" s="40">
        <v>270</v>
      </c>
      <c r="C138" s="41"/>
      <c r="D138" s="41"/>
      <c r="E138" s="41"/>
      <c r="F138" s="41"/>
      <c r="G138" s="41">
        <v>161</v>
      </c>
      <c r="H138" s="41"/>
      <c r="I138" s="41"/>
      <c r="J138" s="41"/>
      <c r="K138" s="41"/>
      <c r="L138" s="41"/>
      <c r="M138" s="42">
        <v>431</v>
      </c>
    </row>
    <row r="139" spans="1:13" ht="12.75">
      <c r="A139" s="39" t="s">
        <v>130</v>
      </c>
      <c r="B139" s="40">
        <v>248</v>
      </c>
      <c r="C139" s="41"/>
      <c r="D139" s="41"/>
      <c r="E139" s="41"/>
      <c r="F139" s="41"/>
      <c r="G139" s="41">
        <v>180</v>
      </c>
      <c r="H139" s="41"/>
      <c r="I139" s="41"/>
      <c r="J139" s="41"/>
      <c r="K139" s="41"/>
      <c r="L139" s="41"/>
      <c r="M139" s="42">
        <v>428</v>
      </c>
    </row>
    <row r="140" spans="1:13" ht="12.75">
      <c r="A140" s="39" t="s">
        <v>239</v>
      </c>
      <c r="B140" s="40"/>
      <c r="C140" s="41"/>
      <c r="D140" s="41">
        <v>426</v>
      </c>
      <c r="E140" s="41"/>
      <c r="F140" s="41"/>
      <c r="G140" s="41"/>
      <c r="H140" s="41"/>
      <c r="I140" s="41"/>
      <c r="J140" s="41"/>
      <c r="K140" s="41"/>
      <c r="L140" s="41"/>
      <c r="M140" s="42">
        <v>426</v>
      </c>
    </row>
    <row r="141" spans="1:13" ht="12.75">
      <c r="A141" s="39" t="s">
        <v>131</v>
      </c>
      <c r="B141" s="40">
        <v>235</v>
      </c>
      <c r="C141" s="41"/>
      <c r="D141" s="41"/>
      <c r="E141" s="41"/>
      <c r="F141" s="41"/>
      <c r="G141" s="41">
        <v>190</v>
      </c>
      <c r="H141" s="41"/>
      <c r="I141" s="41"/>
      <c r="J141" s="41"/>
      <c r="K141" s="41"/>
      <c r="L141" s="41"/>
      <c r="M141" s="42">
        <v>425</v>
      </c>
    </row>
    <row r="142" spans="1:13" ht="12.75">
      <c r="A142" s="39" t="s">
        <v>240</v>
      </c>
      <c r="B142" s="40">
        <v>268</v>
      </c>
      <c r="C142" s="41"/>
      <c r="D142" s="41"/>
      <c r="E142" s="41"/>
      <c r="F142" s="41"/>
      <c r="G142" s="41">
        <v>152</v>
      </c>
      <c r="H142" s="41"/>
      <c r="I142" s="41"/>
      <c r="J142" s="41"/>
      <c r="K142" s="41"/>
      <c r="L142" s="41"/>
      <c r="M142" s="42">
        <v>420</v>
      </c>
    </row>
    <row r="143" spans="1:13" ht="12.75">
      <c r="A143" s="39" t="s">
        <v>291</v>
      </c>
      <c r="B143" s="40"/>
      <c r="C143" s="41"/>
      <c r="D143" s="41"/>
      <c r="E143" s="41"/>
      <c r="F143" s="41"/>
      <c r="G143" s="41"/>
      <c r="H143" s="41"/>
      <c r="I143" s="41">
        <v>415</v>
      </c>
      <c r="J143" s="41"/>
      <c r="K143" s="41"/>
      <c r="L143" s="41"/>
      <c r="M143" s="42">
        <v>415</v>
      </c>
    </row>
    <row r="144" spans="1:13" ht="12.75">
      <c r="A144" s="39" t="s">
        <v>132</v>
      </c>
      <c r="B144" s="40"/>
      <c r="C144" s="41">
        <v>169</v>
      </c>
      <c r="D144" s="41"/>
      <c r="E144" s="41"/>
      <c r="F144" s="41"/>
      <c r="G144" s="41">
        <v>241</v>
      </c>
      <c r="H144" s="41"/>
      <c r="I144" s="41"/>
      <c r="J144" s="41"/>
      <c r="K144" s="41"/>
      <c r="L144" s="41"/>
      <c r="M144" s="42">
        <v>410</v>
      </c>
    </row>
    <row r="145" spans="1:13" ht="12.75">
      <c r="A145" s="39" t="s">
        <v>241</v>
      </c>
      <c r="B145" s="40">
        <v>218</v>
      </c>
      <c r="C145" s="41"/>
      <c r="D145" s="41"/>
      <c r="E145" s="41"/>
      <c r="F145" s="41"/>
      <c r="G145" s="41">
        <v>186</v>
      </c>
      <c r="H145" s="41"/>
      <c r="I145" s="41"/>
      <c r="J145" s="41"/>
      <c r="K145" s="41"/>
      <c r="L145" s="41"/>
      <c r="M145" s="42">
        <v>404</v>
      </c>
    </row>
    <row r="146" spans="1:13" ht="12.75">
      <c r="A146" s="39" t="s">
        <v>133</v>
      </c>
      <c r="B146" s="40"/>
      <c r="C146" s="41"/>
      <c r="D146" s="41">
        <v>402</v>
      </c>
      <c r="E146" s="41"/>
      <c r="F146" s="41"/>
      <c r="G146" s="41"/>
      <c r="H146" s="41"/>
      <c r="I146" s="41"/>
      <c r="J146" s="41"/>
      <c r="K146" s="41"/>
      <c r="L146" s="41"/>
      <c r="M146" s="42">
        <v>402</v>
      </c>
    </row>
    <row r="147" spans="1:13" ht="12.75">
      <c r="A147" s="39" t="s">
        <v>134</v>
      </c>
      <c r="B147" s="40">
        <v>266</v>
      </c>
      <c r="C147" s="41"/>
      <c r="D147" s="41"/>
      <c r="E147" s="41"/>
      <c r="F147" s="41"/>
      <c r="G147" s="41"/>
      <c r="H147" s="41"/>
      <c r="I147" s="41"/>
      <c r="J147" s="41"/>
      <c r="K147" s="41">
        <v>129</v>
      </c>
      <c r="L147" s="41"/>
      <c r="M147" s="42">
        <v>395</v>
      </c>
    </row>
    <row r="148" spans="1:13" ht="12.75">
      <c r="A148" s="39" t="s">
        <v>135</v>
      </c>
      <c r="B148" s="40">
        <v>219</v>
      </c>
      <c r="C148" s="41"/>
      <c r="D148" s="41"/>
      <c r="E148" s="41">
        <v>174</v>
      </c>
      <c r="F148" s="41"/>
      <c r="G148" s="41"/>
      <c r="H148" s="41"/>
      <c r="I148" s="41"/>
      <c r="J148" s="41"/>
      <c r="K148" s="41"/>
      <c r="L148" s="41"/>
      <c r="M148" s="42">
        <v>393</v>
      </c>
    </row>
    <row r="149" spans="1:13" ht="12.75">
      <c r="A149" s="39" t="s">
        <v>242</v>
      </c>
      <c r="B149" s="40"/>
      <c r="C149" s="41"/>
      <c r="D149" s="41"/>
      <c r="E149" s="41"/>
      <c r="F149" s="41">
        <v>238</v>
      </c>
      <c r="G149" s="41">
        <v>145</v>
      </c>
      <c r="H149" s="41"/>
      <c r="I149" s="41"/>
      <c r="J149" s="41"/>
      <c r="K149" s="41"/>
      <c r="L149" s="41"/>
      <c r="M149" s="42">
        <v>383</v>
      </c>
    </row>
    <row r="150" spans="1:13" ht="12.75">
      <c r="A150" s="39" t="s">
        <v>243</v>
      </c>
      <c r="B150" s="40">
        <v>207</v>
      </c>
      <c r="C150" s="41"/>
      <c r="D150" s="41"/>
      <c r="E150" s="41"/>
      <c r="F150" s="41"/>
      <c r="G150" s="41">
        <v>173</v>
      </c>
      <c r="H150" s="41"/>
      <c r="I150" s="41"/>
      <c r="J150" s="41"/>
      <c r="K150" s="41"/>
      <c r="L150" s="41"/>
      <c r="M150" s="42">
        <v>380</v>
      </c>
    </row>
    <row r="151" spans="1:13" ht="12.75">
      <c r="A151" s="39" t="s">
        <v>244</v>
      </c>
      <c r="B151" s="40">
        <v>214</v>
      </c>
      <c r="C151" s="41"/>
      <c r="D151" s="41"/>
      <c r="E151" s="41"/>
      <c r="F151" s="41"/>
      <c r="G151" s="41">
        <v>162</v>
      </c>
      <c r="H151" s="41"/>
      <c r="I151" s="41"/>
      <c r="J151" s="41"/>
      <c r="K151" s="41"/>
      <c r="L151" s="41"/>
      <c r="M151" s="42">
        <v>376</v>
      </c>
    </row>
    <row r="152" spans="1:13" ht="12.75">
      <c r="A152" s="39" t="s">
        <v>136</v>
      </c>
      <c r="B152" s="40"/>
      <c r="C152" s="41"/>
      <c r="D152" s="41"/>
      <c r="E152" s="41"/>
      <c r="F152" s="41"/>
      <c r="G152" s="41">
        <v>211</v>
      </c>
      <c r="H152" s="41"/>
      <c r="I152" s="41"/>
      <c r="J152" s="41"/>
      <c r="K152" s="41">
        <v>161</v>
      </c>
      <c r="L152" s="41"/>
      <c r="M152" s="42">
        <v>372</v>
      </c>
    </row>
    <row r="153" spans="1:13" ht="12.75">
      <c r="A153" s="39" t="s">
        <v>245</v>
      </c>
      <c r="B153" s="40">
        <v>228</v>
      </c>
      <c r="C153" s="41"/>
      <c r="D153" s="41"/>
      <c r="E153" s="41"/>
      <c r="F153" s="41"/>
      <c r="G153" s="41">
        <v>133</v>
      </c>
      <c r="H153" s="41"/>
      <c r="I153" s="41"/>
      <c r="J153" s="41"/>
      <c r="K153" s="41"/>
      <c r="L153" s="41"/>
      <c r="M153" s="42">
        <v>361</v>
      </c>
    </row>
    <row r="154" spans="1:13" ht="12.75">
      <c r="A154" s="39" t="s">
        <v>137</v>
      </c>
      <c r="B154" s="40"/>
      <c r="C154" s="41">
        <v>135</v>
      </c>
      <c r="D154" s="41"/>
      <c r="E154" s="41"/>
      <c r="F154" s="41"/>
      <c r="G154" s="41">
        <v>221</v>
      </c>
      <c r="H154" s="41"/>
      <c r="I154" s="41"/>
      <c r="J154" s="41"/>
      <c r="K154" s="41"/>
      <c r="L154" s="41"/>
      <c r="M154" s="42">
        <v>356</v>
      </c>
    </row>
    <row r="155" spans="1:13" ht="12.75">
      <c r="A155" s="39" t="s">
        <v>138</v>
      </c>
      <c r="B155" s="40"/>
      <c r="C155" s="41"/>
      <c r="D155" s="41"/>
      <c r="E155" s="41"/>
      <c r="F155" s="41"/>
      <c r="G155" s="41">
        <v>218</v>
      </c>
      <c r="H155" s="41"/>
      <c r="I155" s="41"/>
      <c r="J155" s="41"/>
      <c r="K155" s="41">
        <v>133</v>
      </c>
      <c r="L155" s="41"/>
      <c r="M155" s="42">
        <v>351</v>
      </c>
    </row>
    <row r="156" spans="1:13" ht="12.75">
      <c r="A156" s="39" t="s">
        <v>140</v>
      </c>
      <c r="B156" s="40">
        <v>219</v>
      </c>
      <c r="C156" s="41">
        <v>127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2">
        <v>346</v>
      </c>
    </row>
    <row r="157" spans="1:13" ht="12.75">
      <c r="A157" s="39" t="s">
        <v>139</v>
      </c>
      <c r="B157" s="40">
        <v>193</v>
      </c>
      <c r="C157" s="41"/>
      <c r="D157" s="41"/>
      <c r="E157" s="41"/>
      <c r="F157" s="41"/>
      <c r="G157" s="41">
        <v>153</v>
      </c>
      <c r="H157" s="41"/>
      <c r="I157" s="41"/>
      <c r="J157" s="41"/>
      <c r="K157" s="41"/>
      <c r="L157" s="41"/>
      <c r="M157" s="42">
        <v>346</v>
      </c>
    </row>
    <row r="158" spans="1:13" ht="12.75">
      <c r="A158" s="39" t="s">
        <v>141</v>
      </c>
      <c r="B158" s="40">
        <v>220</v>
      </c>
      <c r="C158" s="41">
        <v>121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42">
        <v>341</v>
      </c>
    </row>
    <row r="159" spans="1:13" ht="12.75">
      <c r="A159" s="39" t="s">
        <v>142</v>
      </c>
      <c r="B159" s="40"/>
      <c r="C159" s="41">
        <v>141</v>
      </c>
      <c r="D159" s="41"/>
      <c r="E159" s="41"/>
      <c r="F159" s="41"/>
      <c r="G159" s="41">
        <v>194</v>
      </c>
      <c r="H159" s="41"/>
      <c r="I159" s="41"/>
      <c r="J159" s="41"/>
      <c r="K159" s="41"/>
      <c r="L159" s="41"/>
      <c r="M159" s="42">
        <v>335</v>
      </c>
    </row>
    <row r="160" spans="1:13" ht="12.75">
      <c r="A160" s="39" t="s">
        <v>246</v>
      </c>
      <c r="B160" s="40"/>
      <c r="C160" s="41">
        <v>138</v>
      </c>
      <c r="D160" s="41"/>
      <c r="E160" s="41"/>
      <c r="F160" s="41"/>
      <c r="G160" s="41">
        <v>193</v>
      </c>
      <c r="H160" s="41"/>
      <c r="I160" s="41"/>
      <c r="J160" s="41"/>
      <c r="K160" s="41"/>
      <c r="L160" s="41"/>
      <c r="M160" s="42">
        <v>331</v>
      </c>
    </row>
    <row r="161" spans="1:13" ht="12.75">
      <c r="A161" s="39" t="s">
        <v>143</v>
      </c>
      <c r="B161" s="40"/>
      <c r="C161" s="41"/>
      <c r="D161" s="41"/>
      <c r="E161" s="41"/>
      <c r="F161" s="41"/>
      <c r="G161" s="41"/>
      <c r="H161" s="41"/>
      <c r="I161" s="41"/>
      <c r="J161" s="41">
        <v>310</v>
      </c>
      <c r="K161" s="41"/>
      <c r="L161" s="41"/>
      <c r="M161" s="42">
        <v>310</v>
      </c>
    </row>
    <row r="162" spans="1:13" ht="12.75">
      <c r="A162" s="39" t="s">
        <v>247</v>
      </c>
      <c r="B162" s="40"/>
      <c r="C162" s="41"/>
      <c r="D162" s="41"/>
      <c r="E162" s="41"/>
      <c r="F162" s="41"/>
      <c r="G162" s="41"/>
      <c r="H162" s="41"/>
      <c r="I162" s="41"/>
      <c r="J162" s="41">
        <v>308.39999999999998</v>
      </c>
      <c r="K162" s="41"/>
      <c r="L162" s="41"/>
      <c r="M162" s="42">
        <v>308.39999999999998</v>
      </c>
    </row>
    <row r="163" spans="1:13" ht="12.75">
      <c r="A163" s="39" t="s">
        <v>344</v>
      </c>
      <c r="B163" s="40"/>
      <c r="C163" s="41"/>
      <c r="D163" s="41"/>
      <c r="E163" s="41"/>
      <c r="F163" s="41"/>
      <c r="G163" s="41"/>
      <c r="H163" s="41"/>
      <c r="I163" s="41"/>
      <c r="J163" s="41">
        <v>307.60000000000002</v>
      </c>
      <c r="K163" s="41"/>
      <c r="L163" s="41"/>
      <c r="M163" s="42">
        <v>307.60000000000002</v>
      </c>
    </row>
    <row r="164" spans="1:13" ht="12.75">
      <c r="A164" s="39" t="s">
        <v>144</v>
      </c>
      <c r="B164" s="40"/>
      <c r="C164" s="41"/>
      <c r="D164" s="41"/>
      <c r="E164" s="41"/>
      <c r="F164" s="41"/>
      <c r="G164" s="41"/>
      <c r="H164" s="41"/>
      <c r="I164" s="41"/>
      <c r="J164" s="41">
        <v>307.29999999999995</v>
      </c>
      <c r="K164" s="41"/>
      <c r="L164" s="41"/>
      <c r="M164" s="42">
        <v>307.29999999999995</v>
      </c>
    </row>
    <row r="165" spans="1:13" ht="12.75">
      <c r="A165" s="39" t="s">
        <v>248</v>
      </c>
      <c r="B165" s="40"/>
      <c r="C165" s="41"/>
      <c r="D165" s="41"/>
      <c r="E165" s="41"/>
      <c r="F165" s="41"/>
      <c r="G165" s="41"/>
      <c r="H165" s="41"/>
      <c r="I165" s="41"/>
      <c r="J165" s="41">
        <v>306.60000000000002</v>
      </c>
      <c r="K165" s="41"/>
      <c r="L165" s="41"/>
      <c r="M165" s="42">
        <v>306.60000000000002</v>
      </c>
    </row>
    <row r="166" spans="1:13" ht="12.75">
      <c r="A166" s="39" t="s">
        <v>355</v>
      </c>
      <c r="B166" s="40"/>
      <c r="C166" s="41"/>
      <c r="D166" s="41"/>
      <c r="E166" s="41"/>
      <c r="F166" s="41"/>
      <c r="G166" s="41"/>
      <c r="H166" s="41"/>
      <c r="I166" s="41"/>
      <c r="J166" s="41">
        <v>306.60000000000002</v>
      </c>
      <c r="K166" s="41"/>
      <c r="L166" s="41"/>
      <c r="M166" s="42">
        <v>306.60000000000002</v>
      </c>
    </row>
    <row r="167" spans="1:13" ht="12.75">
      <c r="A167" s="39" t="s">
        <v>323</v>
      </c>
      <c r="B167" s="40"/>
      <c r="C167" s="41"/>
      <c r="D167" s="41"/>
      <c r="E167" s="41"/>
      <c r="F167" s="41"/>
      <c r="G167" s="41"/>
      <c r="H167" s="41"/>
      <c r="I167" s="41"/>
      <c r="J167" s="41">
        <v>305.7</v>
      </c>
      <c r="K167" s="41"/>
      <c r="L167" s="41"/>
      <c r="M167" s="42">
        <v>305.7</v>
      </c>
    </row>
    <row r="168" spans="1:13" ht="12.75">
      <c r="A168" s="39" t="s">
        <v>145</v>
      </c>
      <c r="B168" s="40"/>
      <c r="C168" s="41">
        <v>143</v>
      </c>
      <c r="D168" s="41"/>
      <c r="E168" s="41"/>
      <c r="F168" s="41"/>
      <c r="G168" s="41"/>
      <c r="H168" s="41"/>
      <c r="I168" s="41"/>
      <c r="J168" s="41"/>
      <c r="K168" s="41">
        <v>162</v>
      </c>
      <c r="L168" s="41"/>
      <c r="M168" s="42">
        <v>305</v>
      </c>
    </row>
    <row r="169" spans="1:13" ht="12.75">
      <c r="A169" s="39" t="s">
        <v>345</v>
      </c>
      <c r="B169" s="40"/>
      <c r="C169" s="41"/>
      <c r="D169" s="41"/>
      <c r="E169" s="41"/>
      <c r="F169" s="41"/>
      <c r="G169" s="41"/>
      <c r="H169" s="41"/>
      <c r="I169" s="41"/>
      <c r="J169" s="41">
        <v>304.39999999999998</v>
      </c>
      <c r="K169" s="41"/>
      <c r="L169" s="41"/>
      <c r="M169" s="42">
        <v>304.39999999999998</v>
      </c>
    </row>
    <row r="170" spans="1:13" ht="12.75">
      <c r="A170" s="39" t="s">
        <v>146</v>
      </c>
      <c r="B170" s="40"/>
      <c r="C170" s="41"/>
      <c r="D170" s="41"/>
      <c r="E170" s="41"/>
      <c r="F170" s="41"/>
      <c r="G170" s="41"/>
      <c r="H170" s="41"/>
      <c r="I170" s="41"/>
      <c r="J170" s="41">
        <v>304.2</v>
      </c>
      <c r="K170" s="41"/>
      <c r="L170" s="41"/>
      <c r="M170" s="42">
        <v>304.2</v>
      </c>
    </row>
    <row r="171" spans="1:13" ht="12.75">
      <c r="A171" s="39" t="s">
        <v>356</v>
      </c>
      <c r="B171" s="40"/>
      <c r="C171" s="41"/>
      <c r="D171" s="41"/>
      <c r="E171" s="41"/>
      <c r="F171" s="41"/>
      <c r="G171" s="41"/>
      <c r="H171" s="41"/>
      <c r="I171" s="41"/>
      <c r="J171" s="41">
        <v>303.60000000000002</v>
      </c>
      <c r="K171" s="41"/>
      <c r="L171" s="41"/>
      <c r="M171" s="42">
        <v>303.60000000000002</v>
      </c>
    </row>
    <row r="172" spans="1:13" ht="12.75">
      <c r="A172" s="39" t="s">
        <v>357</v>
      </c>
      <c r="B172" s="40"/>
      <c r="C172" s="41"/>
      <c r="D172" s="41"/>
      <c r="E172" s="41"/>
      <c r="F172" s="41"/>
      <c r="G172" s="41"/>
      <c r="H172" s="41"/>
      <c r="I172" s="41"/>
      <c r="J172" s="41">
        <v>303.29999999999995</v>
      </c>
      <c r="K172" s="41"/>
      <c r="L172" s="41"/>
      <c r="M172" s="42">
        <v>303.29999999999995</v>
      </c>
    </row>
    <row r="173" spans="1:13" ht="12.75">
      <c r="A173" s="39" t="s">
        <v>358</v>
      </c>
      <c r="B173" s="40"/>
      <c r="C173" s="41"/>
      <c r="D173" s="41"/>
      <c r="E173" s="41"/>
      <c r="F173" s="41"/>
      <c r="G173" s="41"/>
      <c r="H173" s="41"/>
      <c r="I173" s="41"/>
      <c r="J173" s="41">
        <v>302.20000000000005</v>
      </c>
      <c r="K173" s="41"/>
      <c r="L173" s="41"/>
      <c r="M173" s="42">
        <v>302.20000000000005</v>
      </c>
    </row>
    <row r="174" spans="1:13" ht="12.75">
      <c r="A174" s="39" t="s">
        <v>324</v>
      </c>
      <c r="B174" s="40"/>
      <c r="C174" s="41"/>
      <c r="D174" s="41"/>
      <c r="E174" s="41"/>
      <c r="F174" s="41"/>
      <c r="G174" s="41"/>
      <c r="H174" s="41"/>
      <c r="I174" s="41"/>
      <c r="J174" s="41">
        <v>301.89999999999998</v>
      </c>
      <c r="K174" s="41"/>
      <c r="L174" s="41"/>
      <c r="M174" s="42">
        <v>301.89999999999998</v>
      </c>
    </row>
    <row r="175" spans="1:13" ht="12.75">
      <c r="A175" s="39" t="s">
        <v>249</v>
      </c>
      <c r="B175" s="40"/>
      <c r="C175" s="41"/>
      <c r="D175" s="41"/>
      <c r="E175" s="41"/>
      <c r="F175" s="41"/>
      <c r="G175" s="41"/>
      <c r="H175" s="41"/>
      <c r="I175" s="41"/>
      <c r="J175" s="41">
        <v>301.39999999999998</v>
      </c>
      <c r="K175" s="41"/>
      <c r="L175" s="41"/>
      <c r="M175" s="42">
        <v>301.39999999999998</v>
      </c>
    </row>
    <row r="176" spans="1:13" ht="12.75">
      <c r="A176" s="39" t="s">
        <v>359</v>
      </c>
      <c r="B176" s="40"/>
      <c r="C176" s="41"/>
      <c r="D176" s="41"/>
      <c r="E176" s="41"/>
      <c r="F176" s="41"/>
      <c r="G176" s="41"/>
      <c r="H176" s="41"/>
      <c r="I176" s="41"/>
      <c r="J176" s="41">
        <v>299.39999999999998</v>
      </c>
      <c r="K176" s="41"/>
      <c r="L176" s="41"/>
      <c r="M176" s="42">
        <v>299.39999999999998</v>
      </c>
    </row>
    <row r="177" spans="1:13" ht="12.75">
      <c r="A177" s="39" t="s">
        <v>325</v>
      </c>
      <c r="B177" s="40"/>
      <c r="C177" s="41"/>
      <c r="D177" s="41"/>
      <c r="E177" s="41"/>
      <c r="F177" s="41"/>
      <c r="G177" s="41"/>
      <c r="H177" s="41"/>
      <c r="I177" s="41"/>
      <c r="J177" s="41">
        <v>297</v>
      </c>
      <c r="K177" s="41"/>
      <c r="L177" s="41"/>
      <c r="M177" s="42">
        <v>297</v>
      </c>
    </row>
    <row r="178" spans="1:13" ht="12.75">
      <c r="A178" s="39" t="s">
        <v>147</v>
      </c>
      <c r="B178" s="40"/>
      <c r="C178" s="41"/>
      <c r="D178" s="41"/>
      <c r="E178" s="41"/>
      <c r="F178" s="41"/>
      <c r="G178" s="41"/>
      <c r="H178" s="41">
        <v>297</v>
      </c>
      <c r="I178" s="41"/>
      <c r="J178" s="41"/>
      <c r="K178" s="41"/>
      <c r="L178" s="41"/>
      <c r="M178" s="42">
        <v>297</v>
      </c>
    </row>
    <row r="179" spans="1:13" ht="12.75">
      <c r="A179" s="39" t="s">
        <v>293</v>
      </c>
      <c r="B179" s="40"/>
      <c r="C179" s="41"/>
      <c r="D179" s="41"/>
      <c r="E179" s="41"/>
      <c r="F179" s="41"/>
      <c r="G179" s="41"/>
      <c r="H179" s="41"/>
      <c r="I179" s="41"/>
      <c r="J179" s="41">
        <v>295.5</v>
      </c>
      <c r="K179" s="41"/>
      <c r="L179" s="41"/>
      <c r="M179" s="42">
        <v>295.5</v>
      </c>
    </row>
    <row r="180" spans="1:13" ht="12.75">
      <c r="A180" s="39" t="s">
        <v>148</v>
      </c>
      <c r="B180" s="40"/>
      <c r="C180" s="41"/>
      <c r="D180" s="41"/>
      <c r="E180" s="41"/>
      <c r="F180" s="41"/>
      <c r="G180" s="41"/>
      <c r="H180" s="41"/>
      <c r="I180" s="41"/>
      <c r="J180" s="41">
        <v>295.39999999999998</v>
      </c>
      <c r="K180" s="41"/>
      <c r="L180" s="41"/>
      <c r="M180" s="42">
        <v>295.39999999999998</v>
      </c>
    </row>
    <row r="181" spans="1:13" ht="12.75">
      <c r="A181" s="39" t="s">
        <v>346</v>
      </c>
      <c r="B181" s="40"/>
      <c r="C181" s="41"/>
      <c r="D181" s="41"/>
      <c r="E181" s="41"/>
      <c r="F181" s="41"/>
      <c r="G181" s="41"/>
      <c r="H181" s="41"/>
      <c r="I181" s="41"/>
      <c r="J181" s="41">
        <v>295.2</v>
      </c>
      <c r="K181" s="41"/>
      <c r="L181" s="41"/>
      <c r="M181" s="42">
        <v>295.2</v>
      </c>
    </row>
    <row r="182" spans="1:13" ht="12.75">
      <c r="A182" s="39" t="s">
        <v>294</v>
      </c>
      <c r="B182" s="40"/>
      <c r="C182" s="41"/>
      <c r="D182" s="41"/>
      <c r="E182" s="41"/>
      <c r="F182" s="41"/>
      <c r="G182" s="41"/>
      <c r="H182" s="41"/>
      <c r="I182" s="41"/>
      <c r="J182" s="41">
        <v>293.8</v>
      </c>
      <c r="K182" s="41"/>
      <c r="L182" s="41"/>
      <c r="M182" s="42">
        <v>293.8</v>
      </c>
    </row>
    <row r="183" spans="1:13" ht="12.75">
      <c r="A183" s="39" t="s">
        <v>250</v>
      </c>
      <c r="B183" s="40"/>
      <c r="C183" s="41"/>
      <c r="D183" s="41"/>
      <c r="E183" s="41"/>
      <c r="F183" s="41"/>
      <c r="G183" s="41"/>
      <c r="H183" s="41"/>
      <c r="I183" s="41"/>
      <c r="J183" s="41">
        <v>293.3</v>
      </c>
      <c r="K183" s="41"/>
      <c r="L183" s="41"/>
      <c r="M183" s="42">
        <v>293.3</v>
      </c>
    </row>
    <row r="184" spans="1:13" ht="12.75">
      <c r="A184" s="39" t="s">
        <v>149</v>
      </c>
      <c r="B184" s="40"/>
      <c r="C184" s="41"/>
      <c r="D184" s="41"/>
      <c r="E184" s="41"/>
      <c r="F184" s="41"/>
      <c r="G184" s="41"/>
      <c r="H184" s="41">
        <v>293</v>
      </c>
      <c r="I184" s="41"/>
      <c r="J184" s="41"/>
      <c r="K184" s="41"/>
      <c r="L184" s="41"/>
      <c r="M184" s="42">
        <v>293</v>
      </c>
    </row>
    <row r="185" spans="1:13" ht="12.75">
      <c r="A185" s="39" t="s">
        <v>150</v>
      </c>
      <c r="B185" s="40"/>
      <c r="C185" s="41"/>
      <c r="D185" s="41"/>
      <c r="E185" s="41"/>
      <c r="F185" s="41"/>
      <c r="G185" s="41"/>
      <c r="H185" s="41">
        <v>293</v>
      </c>
      <c r="I185" s="41"/>
      <c r="J185" s="41"/>
      <c r="K185" s="41"/>
      <c r="L185" s="41"/>
      <c r="M185" s="42">
        <v>293</v>
      </c>
    </row>
    <row r="186" spans="1:13" ht="12.75">
      <c r="A186" s="39" t="s">
        <v>251</v>
      </c>
      <c r="B186" s="40"/>
      <c r="C186" s="41"/>
      <c r="D186" s="41"/>
      <c r="E186" s="41"/>
      <c r="F186" s="41"/>
      <c r="G186" s="41"/>
      <c r="H186" s="41"/>
      <c r="I186" s="41"/>
      <c r="J186" s="41">
        <v>292.79999999999995</v>
      </c>
      <c r="K186" s="41"/>
      <c r="L186" s="41"/>
      <c r="M186" s="42">
        <v>292.79999999999995</v>
      </c>
    </row>
    <row r="187" spans="1:13" ht="12.75">
      <c r="A187" s="39" t="s">
        <v>347</v>
      </c>
      <c r="B187" s="40"/>
      <c r="C187" s="41"/>
      <c r="D187" s="41"/>
      <c r="E187" s="41"/>
      <c r="F187" s="41"/>
      <c r="G187" s="41"/>
      <c r="H187" s="41"/>
      <c r="I187" s="41"/>
      <c r="J187" s="41">
        <v>291.7</v>
      </c>
      <c r="K187" s="41"/>
      <c r="L187" s="41"/>
      <c r="M187" s="42">
        <v>291.7</v>
      </c>
    </row>
    <row r="188" spans="1:13" ht="12.75">
      <c r="A188" s="39" t="s">
        <v>348</v>
      </c>
      <c r="B188" s="40"/>
      <c r="C188" s="41"/>
      <c r="D188" s="41"/>
      <c r="E188" s="41"/>
      <c r="F188" s="41"/>
      <c r="G188" s="41"/>
      <c r="H188" s="41"/>
      <c r="I188" s="41"/>
      <c r="J188" s="41">
        <v>291.2</v>
      </c>
      <c r="K188" s="41"/>
      <c r="L188" s="41"/>
      <c r="M188" s="42">
        <v>291.2</v>
      </c>
    </row>
    <row r="189" spans="1:13" ht="12.75">
      <c r="A189" s="39" t="s">
        <v>326</v>
      </c>
      <c r="B189" s="40"/>
      <c r="C189" s="41"/>
      <c r="D189" s="41"/>
      <c r="E189" s="41"/>
      <c r="F189" s="41"/>
      <c r="G189" s="41"/>
      <c r="H189" s="41"/>
      <c r="I189" s="41"/>
      <c r="J189" s="41">
        <v>290.8</v>
      </c>
      <c r="K189" s="41"/>
      <c r="L189" s="41"/>
      <c r="M189" s="42">
        <v>290.8</v>
      </c>
    </row>
    <row r="190" spans="1:13" ht="12.75">
      <c r="A190" s="39" t="s">
        <v>327</v>
      </c>
      <c r="B190" s="40"/>
      <c r="C190" s="41"/>
      <c r="D190" s="41"/>
      <c r="E190" s="41"/>
      <c r="F190" s="41"/>
      <c r="G190" s="41"/>
      <c r="H190" s="41"/>
      <c r="I190" s="41"/>
      <c r="J190" s="41">
        <v>290.29999999999995</v>
      </c>
      <c r="K190" s="41"/>
      <c r="L190" s="41"/>
      <c r="M190" s="42">
        <v>290.29999999999995</v>
      </c>
    </row>
    <row r="191" spans="1:13" ht="12.75">
      <c r="A191" s="39" t="s">
        <v>349</v>
      </c>
      <c r="B191" s="40"/>
      <c r="C191" s="41"/>
      <c r="D191" s="41"/>
      <c r="E191" s="41"/>
      <c r="F191" s="41"/>
      <c r="G191" s="41"/>
      <c r="H191" s="41"/>
      <c r="I191" s="41"/>
      <c r="J191" s="41">
        <v>290</v>
      </c>
      <c r="K191" s="41"/>
      <c r="L191" s="41"/>
      <c r="M191" s="42">
        <v>290</v>
      </c>
    </row>
    <row r="192" spans="1:13" ht="12.75">
      <c r="A192" s="39" t="s">
        <v>295</v>
      </c>
      <c r="B192" s="40"/>
      <c r="C192" s="41"/>
      <c r="D192" s="41"/>
      <c r="E192" s="41"/>
      <c r="F192" s="41"/>
      <c r="G192" s="41"/>
      <c r="H192" s="41"/>
      <c r="I192" s="41"/>
      <c r="J192" s="41">
        <v>289.39999999999998</v>
      </c>
      <c r="K192" s="41"/>
      <c r="L192" s="41"/>
      <c r="M192" s="42">
        <v>289.39999999999998</v>
      </c>
    </row>
    <row r="193" spans="1:13" ht="12.75">
      <c r="A193" s="39" t="s">
        <v>151</v>
      </c>
      <c r="B193" s="40"/>
      <c r="C193" s="41"/>
      <c r="D193" s="41"/>
      <c r="E193" s="41">
        <v>287</v>
      </c>
      <c r="F193" s="41"/>
      <c r="G193" s="41"/>
      <c r="H193" s="41"/>
      <c r="I193" s="41"/>
      <c r="J193" s="41"/>
      <c r="K193" s="41"/>
      <c r="L193" s="41"/>
      <c r="M193" s="42">
        <v>287</v>
      </c>
    </row>
    <row r="194" spans="1:13" ht="12.75">
      <c r="A194" s="39" t="s">
        <v>252</v>
      </c>
      <c r="B194" s="40"/>
      <c r="C194" s="41"/>
      <c r="D194" s="41"/>
      <c r="E194" s="41"/>
      <c r="F194" s="41"/>
      <c r="G194" s="41"/>
      <c r="H194" s="41"/>
      <c r="I194" s="41"/>
      <c r="J194" s="41">
        <v>286.5</v>
      </c>
      <c r="K194" s="41"/>
      <c r="L194" s="41"/>
      <c r="M194" s="42">
        <v>286.5</v>
      </c>
    </row>
    <row r="195" spans="1:13" ht="12.75">
      <c r="A195" s="39" t="s">
        <v>328</v>
      </c>
      <c r="B195" s="40"/>
      <c r="C195" s="41"/>
      <c r="D195" s="41"/>
      <c r="E195" s="41"/>
      <c r="F195" s="41"/>
      <c r="G195" s="41"/>
      <c r="H195" s="41"/>
      <c r="I195" s="41"/>
      <c r="J195" s="41">
        <v>286.3</v>
      </c>
      <c r="K195" s="41"/>
      <c r="L195" s="41"/>
      <c r="M195" s="42">
        <v>286.3</v>
      </c>
    </row>
    <row r="196" spans="1:13" ht="12.75">
      <c r="A196" s="39" t="s">
        <v>152</v>
      </c>
      <c r="B196" s="40"/>
      <c r="C196" s="41"/>
      <c r="D196" s="41"/>
      <c r="E196" s="41"/>
      <c r="F196" s="41"/>
      <c r="G196" s="41"/>
      <c r="H196" s="41"/>
      <c r="I196" s="41"/>
      <c r="J196" s="41">
        <v>285.29999999999995</v>
      </c>
      <c r="K196" s="41"/>
      <c r="L196" s="41"/>
      <c r="M196" s="42">
        <v>285.29999999999995</v>
      </c>
    </row>
    <row r="197" spans="1:13" ht="12.75">
      <c r="A197" s="39" t="s">
        <v>296</v>
      </c>
      <c r="B197" s="40"/>
      <c r="C197" s="41"/>
      <c r="D197" s="41"/>
      <c r="E197" s="41">
        <v>285</v>
      </c>
      <c r="F197" s="41"/>
      <c r="G197" s="41"/>
      <c r="H197" s="41"/>
      <c r="I197" s="41"/>
      <c r="J197" s="41"/>
      <c r="K197" s="41"/>
      <c r="L197" s="41"/>
      <c r="M197" s="42">
        <v>285</v>
      </c>
    </row>
    <row r="198" spans="1:13" ht="12.75">
      <c r="A198" s="39" t="s">
        <v>254</v>
      </c>
      <c r="B198" s="40"/>
      <c r="C198" s="41"/>
      <c r="D198" s="41"/>
      <c r="E198" s="41"/>
      <c r="F198" s="41"/>
      <c r="G198" s="41"/>
      <c r="H198" s="41"/>
      <c r="I198" s="41"/>
      <c r="J198" s="41">
        <v>284.7</v>
      </c>
      <c r="K198" s="41"/>
      <c r="L198" s="41"/>
      <c r="M198" s="42">
        <v>284.7</v>
      </c>
    </row>
    <row r="199" spans="1:13" ht="12.75">
      <c r="A199" s="39" t="s">
        <v>255</v>
      </c>
      <c r="B199" s="40"/>
      <c r="C199" s="41"/>
      <c r="D199" s="41"/>
      <c r="E199" s="41"/>
      <c r="F199" s="41"/>
      <c r="G199" s="41"/>
      <c r="H199" s="41"/>
      <c r="I199" s="41"/>
      <c r="J199" s="41">
        <v>284.60000000000002</v>
      </c>
      <c r="K199" s="41"/>
      <c r="L199" s="41"/>
      <c r="M199" s="42">
        <v>284.60000000000002</v>
      </c>
    </row>
    <row r="200" spans="1:13" ht="12.75">
      <c r="A200" s="39" t="s">
        <v>350</v>
      </c>
      <c r="B200" s="40"/>
      <c r="C200" s="41"/>
      <c r="D200" s="41"/>
      <c r="E200" s="41"/>
      <c r="F200" s="41"/>
      <c r="G200" s="41"/>
      <c r="H200" s="41"/>
      <c r="I200" s="41"/>
      <c r="J200" s="41">
        <v>284.39999999999998</v>
      </c>
      <c r="K200" s="41"/>
      <c r="L200" s="41"/>
      <c r="M200" s="42">
        <v>284.39999999999998</v>
      </c>
    </row>
    <row r="201" spans="1:13" ht="12.75">
      <c r="A201" s="39" t="s">
        <v>297</v>
      </c>
      <c r="B201" s="40"/>
      <c r="C201" s="41"/>
      <c r="D201" s="41"/>
      <c r="E201" s="41"/>
      <c r="F201" s="41"/>
      <c r="G201" s="41"/>
      <c r="H201" s="41"/>
      <c r="I201" s="41"/>
      <c r="J201" s="41">
        <v>284.10000000000002</v>
      </c>
      <c r="K201" s="41"/>
      <c r="L201" s="41"/>
      <c r="M201" s="42">
        <v>284.10000000000002</v>
      </c>
    </row>
    <row r="202" spans="1:13" ht="12.75">
      <c r="A202" s="39" t="s">
        <v>256</v>
      </c>
      <c r="B202" s="40">
        <v>212</v>
      </c>
      <c r="C202" s="41"/>
      <c r="D202" s="41"/>
      <c r="E202" s="41"/>
      <c r="F202" s="41"/>
      <c r="G202" s="41">
        <v>71</v>
      </c>
      <c r="H202" s="41"/>
      <c r="I202" s="41"/>
      <c r="J202" s="41"/>
      <c r="K202" s="41"/>
      <c r="L202" s="41"/>
      <c r="M202" s="42">
        <v>283</v>
      </c>
    </row>
    <row r="203" spans="1:13" ht="12.75">
      <c r="A203" s="39" t="s">
        <v>298</v>
      </c>
      <c r="B203" s="40"/>
      <c r="C203" s="41"/>
      <c r="D203" s="41"/>
      <c r="E203" s="41"/>
      <c r="F203" s="41"/>
      <c r="G203" s="41"/>
      <c r="H203" s="41"/>
      <c r="I203" s="41"/>
      <c r="J203" s="41">
        <v>282.70000000000005</v>
      </c>
      <c r="K203" s="41"/>
      <c r="L203" s="41"/>
      <c r="M203" s="42">
        <v>282.70000000000005</v>
      </c>
    </row>
    <row r="204" spans="1:13" ht="12.75">
      <c r="A204" s="39" t="s">
        <v>360</v>
      </c>
      <c r="B204" s="40"/>
      <c r="C204" s="41"/>
      <c r="D204" s="41"/>
      <c r="E204" s="41"/>
      <c r="F204" s="41"/>
      <c r="G204" s="41"/>
      <c r="H204" s="41"/>
      <c r="I204" s="41"/>
      <c r="J204" s="41">
        <v>281.79999999999995</v>
      </c>
      <c r="K204" s="41"/>
      <c r="L204" s="41"/>
      <c r="M204" s="42">
        <v>281.79999999999995</v>
      </c>
    </row>
    <row r="205" spans="1:13" ht="12.75">
      <c r="A205" s="39" t="s">
        <v>329</v>
      </c>
      <c r="B205" s="40"/>
      <c r="C205" s="41"/>
      <c r="D205" s="41"/>
      <c r="E205" s="41"/>
      <c r="F205" s="41"/>
      <c r="G205" s="41"/>
      <c r="H205" s="41"/>
      <c r="I205" s="41"/>
      <c r="J205" s="41">
        <v>280.2</v>
      </c>
      <c r="K205" s="41"/>
      <c r="L205" s="41"/>
      <c r="M205" s="42">
        <v>280.2</v>
      </c>
    </row>
    <row r="206" spans="1:13" ht="12.75">
      <c r="A206" s="39" t="s">
        <v>330</v>
      </c>
      <c r="B206" s="40"/>
      <c r="C206" s="41"/>
      <c r="D206" s="41"/>
      <c r="E206" s="41">
        <v>280</v>
      </c>
      <c r="F206" s="41"/>
      <c r="G206" s="41"/>
      <c r="H206" s="41"/>
      <c r="I206" s="41"/>
      <c r="J206" s="41"/>
      <c r="K206" s="41"/>
      <c r="L206" s="41"/>
      <c r="M206" s="42">
        <v>280</v>
      </c>
    </row>
    <row r="207" spans="1:13" ht="12.75">
      <c r="A207" s="39" t="s">
        <v>351</v>
      </c>
      <c r="B207" s="40"/>
      <c r="C207" s="41"/>
      <c r="D207" s="41"/>
      <c r="E207" s="41"/>
      <c r="F207" s="41"/>
      <c r="G207" s="41"/>
      <c r="H207" s="41"/>
      <c r="I207" s="41"/>
      <c r="J207" s="41">
        <v>279.10000000000002</v>
      </c>
      <c r="K207" s="41"/>
      <c r="L207" s="41"/>
      <c r="M207" s="42">
        <v>279.10000000000002</v>
      </c>
    </row>
    <row r="208" spans="1:13" ht="12.75">
      <c r="A208" s="39" t="s">
        <v>361</v>
      </c>
      <c r="B208" s="40"/>
      <c r="C208" s="41"/>
      <c r="D208" s="41"/>
      <c r="E208" s="41"/>
      <c r="F208" s="41"/>
      <c r="G208" s="41"/>
      <c r="H208" s="41"/>
      <c r="I208" s="41"/>
      <c r="J208" s="41">
        <v>279.10000000000002</v>
      </c>
      <c r="K208" s="41"/>
      <c r="L208" s="41"/>
      <c r="M208" s="42">
        <v>279.10000000000002</v>
      </c>
    </row>
    <row r="209" spans="1:13" ht="12.75">
      <c r="A209" s="39" t="s">
        <v>299</v>
      </c>
      <c r="B209" s="40"/>
      <c r="C209" s="41"/>
      <c r="D209" s="41"/>
      <c r="E209" s="41">
        <v>279</v>
      </c>
      <c r="F209" s="41"/>
      <c r="G209" s="41"/>
      <c r="H209" s="41"/>
      <c r="I209" s="41"/>
      <c r="J209" s="41"/>
      <c r="K209" s="41"/>
      <c r="L209" s="41"/>
      <c r="M209" s="42">
        <v>279</v>
      </c>
    </row>
    <row r="210" spans="1:13" ht="12.75">
      <c r="A210" s="39" t="s">
        <v>352</v>
      </c>
      <c r="B210" s="40"/>
      <c r="C210" s="41"/>
      <c r="D210" s="41"/>
      <c r="E210" s="41"/>
      <c r="F210" s="41"/>
      <c r="G210" s="41"/>
      <c r="H210" s="41"/>
      <c r="I210" s="41"/>
      <c r="J210" s="41">
        <v>278.89999999999998</v>
      </c>
      <c r="K210" s="41"/>
      <c r="L210" s="41"/>
      <c r="M210" s="42">
        <v>278.89999999999998</v>
      </c>
    </row>
    <row r="211" spans="1:13" ht="12.75">
      <c r="A211" s="39" t="s">
        <v>362</v>
      </c>
      <c r="B211" s="40"/>
      <c r="C211" s="41"/>
      <c r="D211" s="41"/>
      <c r="E211" s="41"/>
      <c r="F211" s="41"/>
      <c r="G211" s="41"/>
      <c r="H211" s="41"/>
      <c r="I211" s="41"/>
      <c r="J211" s="41">
        <v>278.79999999999995</v>
      </c>
      <c r="K211" s="41"/>
      <c r="L211" s="41"/>
      <c r="M211" s="42">
        <v>278.79999999999995</v>
      </c>
    </row>
    <row r="212" spans="1:13" ht="12.75">
      <c r="A212" s="39" t="s">
        <v>363</v>
      </c>
      <c r="B212" s="40"/>
      <c r="C212" s="41"/>
      <c r="D212" s="41"/>
      <c r="E212" s="41"/>
      <c r="F212" s="41"/>
      <c r="G212" s="41"/>
      <c r="H212" s="41"/>
      <c r="I212" s="41"/>
      <c r="J212" s="41">
        <v>277</v>
      </c>
      <c r="K212" s="41"/>
      <c r="L212" s="41"/>
      <c r="M212" s="42">
        <v>277</v>
      </c>
    </row>
    <row r="213" spans="1:13" ht="12.75">
      <c r="A213" s="39" t="s">
        <v>364</v>
      </c>
      <c r="B213" s="40"/>
      <c r="C213" s="41"/>
      <c r="D213" s="41"/>
      <c r="E213" s="41"/>
      <c r="F213" s="41"/>
      <c r="G213" s="41"/>
      <c r="H213" s="41"/>
      <c r="I213" s="41"/>
      <c r="J213" s="41">
        <v>276.3</v>
      </c>
      <c r="K213" s="41"/>
      <c r="L213" s="41"/>
      <c r="M213" s="42">
        <v>276.3</v>
      </c>
    </row>
    <row r="214" spans="1:13" ht="12.75">
      <c r="A214" s="39" t="s">
        <v>257</v>
      </c>
      <c r="B214" s="40"/>
      <c r="C214" s="41"/>
      <c r="D214" s="41"/>
      <c r="E214" s="41"/>
      <c r="F214" s="41"/>
      <c r="G214" s="41"/>
      <c r="H214" s="41"/>
      <c r="I214" s="41"/>
      <c r="J214" s="41">
        <v>276.10000000000002</v>
      </c>
      <c r="K214" s="41"/>
      <c r="L214" s="41"/>
      <c r="M214" s="42">
        <v>276.10000000000002</v>
      </c>
    </row>
    <row r="215" spans="1:13" ht="12.75">
      <c r="A215" s="39" t="s">
        <v>153</v>
      </c>
      <c r="B215" s="40">
        <v>276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>
        <v>276</v>
      </c>
    </row>
    <row r="216" spans="1:13" ht="12.75">
      <c r="A216" s="39" t="s">
        <v>258</v>
      </c>
      <c r="B216" s="40">
        <v>276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>
        <v>276</v>
      </c>
    </row>
    <row r="217" spans="1:13" ht="12.75">
      <c r="A217" s="39" t="s">
        <v>154</v>
      </c>
      <c r="B217" s="40"/>
      <c r="C217" s="41"/>
      <c r="D217" s="41"/>
      <c r="E217" s="41"/>
      <c r="F217" s="41"/>
      <c r="G217" s="41"/>
      <c r="H217" s="41"/>
      <c r="I217" s="41"/>
      <c r="J217" s="41">
        <v>275.60000000000002</v>
      </c>
      <c r="K217" s="41"/>
      <c r="L217" s="41"/>
      <c r="M217" s="42">
        <v>275.60000000000002</v>
      </c>
    </row>
    <row r="218" spans="1:13" ht="12.75">
      <c r="A218" s="39" t="s">
        <v>300</v>
      </c>
      <c r="B218" s="40"/>
      <c r="C218" s="41"/>
      <c r="D218" s="41"/>
      <c r="E218" s="41"/>
      <c r="F218" s="41"/>
      <c r="G218" s="41"/>
      <c r="H218" s="41"/>
      <c r="I218" s="41"/>
      <c r="J218" s="41">
        <v>274.2</v>
      </c>
      <c r="K218" s="41"/>
      <c r="L218" s="41"/>
      <c r="M218" s="42">
        <v>274.2</v>
      </c>
    </row>
    <row r="219" spans="1:13" ht="12.75">
      <c r="A219" s="39" t="s">
        <v>331</v>
      </c>
      <c r="B219" s="40"/>
      <c r="C219" s="41"/>
      <c r="D219" s="41"/>
      <c r="E219" s="41">
        <v>274</v>
      </c>
      <c r="F219" s="41"/>
      <c r="G219" s="41"/>
      <c r="H219" s="41"/>
      <c r="I219" s="41"/>
      <c r="J219" s="41"/>
      <c r="K219" s="41"/>
      <c r="L219" s="41"/>
      <c r="M219" s="42">
        <v>274</v>
      </c>
    </row>
    <row r="220" spans="1:13" ht="12.75">
      <c r="A220" s="39" t="s">
        <v>259</v>
      </c>
      <c r="B220" s="40">
        <v>184</v>
      </c>
      <c r="C220" s="41"/>
      <c r="D220" s="41"/>
      <c r="E220" s="41"/>
      <c r="F220" s="41"/>
      <c r="G220" s="41">
        <v>89</v>
      </c>
      <c r="H220" s="41"/>
      <c r="I220" s="41"/>
      <c r="J220" s="41"/>
      <c r="K220" s="41"/>
      <c r="L220" s="41"/>
      <c r="M220" s="42">
        <v>273</v>
      </c>
    </row>
    <row r="221" spans="1:13" ht="12.75">
      <c r="A221" s="39" t="s">
        <v>365</v>
      </c>
      <c r="B221" s="40"/>
      <c r="C221" s="41"/>
      <c r="D221" s="41"/>
      <c r="E221" s="41"/>
      <c r="F221" s="41"/>
      <c r="G221" s="41"/>
      <c r="H221" s="41"/>
      <c r="I221" s="41"/>
      <c r="J221" s="41">
        <v>273</v>
      </c>
      <c r="K221" s="41"/>
      <c r="L221" s="41"/>
      <c r="M221" s="42">
        <v>273</v>
      </c>
    </row>
    <row r="222" spans="1:13" ht="12.75">
      <c r="A222" s="39" t="s">
        <v>155</v>
      </c>
      <c r="B222" s="40"/>
      <c r="C222" s="41"/>
      <c r="D222" s="41"/>
      <c r="E222" s="41">
        <v>272</v>
      </c>
      <c r="F222" s="41"/>
      <c r="G222" s="41"/>
      <c r="H222" s="41"/>
      <c r="I222" s="41"/>
      <c r="J222" s="41"/>
      <c r="K222" s="41"/>
      <c r="L222" s="41"/>
      <c r="M222" s="42">
        <v>272</v>
      </c>
    </row>
    <row r="223" spans="1:13" ht="12.75">
      <c r="A223" s="39" t="s">
        <v>332</v>
      </c>
      <c r="B223" s="40"/>
      <c r="C223" s="41"/>
      <c r="D223" s="41"/>
      <c r="E223" s="41">
        <v>272</v>
      </c>
      <c r="F223" s="41"/>
      <c r="G223" s="41"/>
      <c r="H223" s="41"/>
      <c r="I223" s="41"/>
      <c r="J223" s="41"/>
      <c r="K223" s="41"/>
      <c r="L223" s="41"/>
      <c r="M223" s="42">
        <v>272</v>
      </c>
    </row>
    <row r="224" spans="1:13" ht="12.75">
      <c r="A224" s="39" t="s">
        <v>157</v>
      </c>
      <c r="B224" s="40">
        <v>270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2">
        <v>270</v>
      </c>
    </row>
    <row r="225" spans="1:13" ht="12.75">
      <c r="A225" s="39" t="s">
        <v>156</v>
      </c>
      <c r="B225" s="40">
        <v>270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2">
        <v>270</v>
      </c>
    </row>
    <row r="226" spans="1:13" ht="12.75">
      <c r="A226" s="39" t="s">
        <v>301</v>
      </c>
      <c r="B226" s="40"/>
      <c r="C226" s="41"/>
      <c r="D226" s="41"/>
      <c r="E226" s="41">
        <v>269</v>
      </c>
      <c r="F226" s="41"/>
      <c r="G226" s="41"/>
      <c r="H226" s="41"/>
      <c r="I226" s="41"/>
      <c r="J226" s="41"/>
      <c r="K226" s="41"/>
      <c r="L226" s="41"/>
      <c r="M226" s="42">
        <v>269</v>
      </c>
    </row>
    <row r="227" spans="1:13" ht="12.75">
      <c r="A227" s="39" t="s">
        <v>158</v>
      </c>
      <c r="B227" s="40">
        <v>268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>
        <v>268</v>
      </c>
    </row>
    <row r="228" spans="1:13" ht="12.75">
      <c r="A228" s="39" t="s">
        <v>159</v>
      </c>
      <c r="B228" s="40">
        <v>268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>
        <v>268</v>
      </c>
    </row>
    <row r="229" spans="1:13" ht="12.75">
      <c r="A229" s="39" t="s">
        <v>160</v>
      </c>
      <c r="B229" s="40"/>
      <c r="C229" s="41"/>
      <c r="D229" s="41"/>
      <c r="E229" s="41"/>
      <c r="F229" s="41"/>
      <c r="G229" s="41"/>
      <c r="H229" s="41">
        <v>267</v>
      </c>
      <c r="I229" s="41"/>
      <c r="J229" s="41"/>
      <c r="K229" s="41"/>
      <c r="L229" s="41"/>
      <c r="M229" s="42">
        <v>267</v>
      </c>
    </row>
    <row r="230" spans="1:13" ht="12.75">
      <c r="A230" s="39" t="s">
        <v>161</v>
      </c>
      <c r="B230" s="40"/>
      <c r="C230" s="41"/>
      <c r="D230" s="41"/>
      <c r="E230" s="41"/>
      <c r="F230" s="41"/>
      <c r="G230" s="41"/>
      <c r="H230" s="41"/>
      <c r="I230" s="41"/>
      <c r="J230" s="41">
        <v>266.39999999999998</v>
      </c>
      <c r="K230" s="41"/>
      <c r="L230" s="41"/>
      <c r="M230" s="42">
        <v>266.39999999999998</v>
      </c>
    </row>
    <row r="231" spans="1:13" ht="12.75">
      <c r="A231" s="39" t="s">
        <v>162</v>
      </c>
      <c r="B231" s="40"/>
      <c r="C231" s="41"/>
      <c r="D231" s="41"/>
      <c r="E231" s="41"/>
      <c r="F231" s="41">
        <v>265</v>
      </c>
      <c r="G231" s="41"/>
      <c r="H231" s="41"/>
      <c r="I231" s="41"/>
      <c r="J231" s="41"/>
      <c r="K231" s="41"/>
      <c r="L231" s="41"/>
      <c r="M231" s="42">
        <v>265</v>
      </c>
    </row>
    <row r="232" spans="1:13" ht="12.75">
      <c r="A232" s="39" t="s">
        <v>163</v>
      </c>
      <c r="B232" s="40"/>
      <c r="C232" s="41"/>
      <c r="D232" s="41"/>
      <c r="E232" s="41">
        <v>263</v>
      </c>
      <c r="F232" s="41"/>
      <c r="G232" s="41"/>
      <c r="H232" s="41"/>
      <c r="I232" s="41"/>
      <c r="J232" s="41"/>
      <c r="K232" s="41"/>
      <c r="L232" s="41"/>
      <c r="M232" s="42">
        <v>263</v>
      </c>
    </row>
    <row r="233" spans="1:13" ht="12.75">
      <c r="A233" s="39" t="s">
        <v>333</v>
      </c>
      <c r="B233" s="40"/>
      <c r="C233" s="41"/>
      <c r="D233" s="41"/>
      <c r="E233" s="41"/>
      <c r="F233" s="41"/>
      <c r="G233" s="41"/>
      <c r="H233" s="41"/>
      <c r="I233" s="41"/>
      <c r="J233" s="41">
        <v>262.5</v>
      </c>
      <c r="K233" s="41"/>
      <c r="L233" s="41"/>
      <c r="M233" s="42">
        <v>262.5</v>
      </c>
    </row>
    <row r="234" spans="1:13" ht="12.75">
      <c r="A234" s="39" t="s">
        <v>164</v>
      </c>
      <c r="B234" s="40"/>
      <c r="C234" s="41"/>
      <c r="D234" s="41"/>
      <c r="E234" s="41"/>
      <c r="F234" s="41"/>
      <c r="G234" s="41"/>
      <c r="H234" s="41"/>
      <c r="I234" s="41"/>
      <c r="J234" s="41">
        <v>261.39999999999998</v>
      </c>
      <c r="K234" s="41"/>
      <c r="L234" s="41"/>
      <c r="M234" s="42">
        <v>261.39999999999998</v>
      </c>
    </row>
    <row r="235" spans="1:13" ht="12.75">
      <c r="A235" s="39" t="s">
        <v>302</v>
      </c>
      <c r="B235" s="40"/>
      <c r="C235" s="41"/>
      <c r="D235" s="41"/>
      <c r="E235" s="41">
        <v>261</v>
      </c>
      <c r="F235" s="41"/>
      <c r="G235" s="41"/>
      <c r="H235" s="41"/>
      <c r="I235" s="41"/>
      <c r="J235" s="41"/>
      <c r="K235" s="41"/>
      <c r="L235" s="41"/>
      <c r="M235" s="42">
        <v>261</v>
      </c>
    </row>
    <row r="236" spans="1:13" ht="12.75">
      <c r="A236" s="39" t="s">
        <v>48</v>
      </c>
      <c r="B236" s="40"/>
      <c r="C236" s="41"/>
      <c r="D236" s="41"/>
      <c r="E236" s="41"/>
      <c r="F236" s="41">
        <v>261</v>
      </c>
      <c r="G236" s="41"/>
      <c r="H236" s="41"/>
      <c r="I236" s="41"/>
      <c r="J236" s="41"/>
      <c r="K236" s="41"/>
      <c r="L236" s="41"/>
      <c r="M236" s="42">
        <v>261</v>
      </c>
    </row>
    <row r="237" spans="1:13" ht="12.75">
      <c r="A237" s="39" t="s">
        <v>260</v>
      </c>
      <c r="B237" s="40"/>
      <c r="C237" s="41"/>
      <c r="D237" s="41"/>
      <c r="E237" s="41">
        <v>260</v>
      </c>
      <c r="F237" s="41"/>
      <c r="G237" s="41"/>
      <c r="H237" s="41"/>
      <c r="I237" s="41"/>
      <c r="J237" s="41"/>
      <c r="K237" s="41"/>
      <c r="L237" s="41"/>
      <c r="M237" s="42">
        <v>260</v>
      </c>
    </row>
    <row r="238" spans="1:13" ht="12.75">
      <c r="A238" s="39" t="s">
        <v>303</v>
      </c>
      <c r="B238" s="40"/>
      <c r="C238" s="41"/>
      <c r="D238" s="41"/>
      <c r="E238" s="41"/>
      <c r="F238" s="41"/>
      <c r="G238" s="41"/>
      <c r="H238" s="41"/>
      <c r="I238" s="41"/>
      <c r="J238" s="41">
        <v>259.89999999999998</v>
      </c>
      <c r="K238" s="41"/>
      <c r="L238" s="41"/>
      <c r="M238" s="42">
        <v>259.89999999999998</v>
      </c>
    </row>
    <row r="239" spans="1:13" ht="12.75">
      <c r="A239" s="39" t="s">
        <v>366</v>
      </c>
      <c r="B239" s="40"/>
      <c r="C239" s="41"/>
      <c r="D239" s="41"/>
      <c r="E239" s="41"/>
      <c r="F239" s="41"/>
      <c r="G239" s="41"/>
      <c r="H239" s="41"/>
      <c r="I239" s="41"/>
      <c r="J239" s="41">
        <v>259</v>
      </c>
      <c r="K239" s="41"/>
      <c r="L239" s="41"/>
      <c r="M239" s="42">
        <v>259</v>
      </c>
    </row>
    <row r="240" spans="1:13" ht="12.75">
      <c r="A240" s="39" t="s">
        <v>165</v>
      </c>
      <c r="B240" s="40">
        <v>258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>
        <v>258</v>
      </c>
    </row>
    <row r="241" spans="1:13" ht="12.75">
      <c r="A241" s="39" t="s">
        <v>353</v>
      </c>
      <c r="B241" s="40"/>
      <c r="C241" s="41"/>
      <c r="D241" s="41"/>
      <c r="E241" s="41"/>
      <c r="F241" s="41"/>
      <c r="G241" s="41"/>
      <c r="H241" s="41"/>
      <c r="I241" s="41"/>
      <c r="J241" s="41">
        <v>257.39999999999998</v>
      </c>
      <c r="K241" s="41"/>
      <c r="L241" s="41"/>
      <c r="M241" s="42">
        <v>257.39999999999998</v>
      </c>
    </row>
    <row r="242" spans="1:13" ht="12.75">
      <c r="A242" s="39" t="s">
        <v>166</v>
      </c>
      <c r="B242" s="40">
        <v>257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>
        <v>257</v>
      </c>
    </row>
    <row r="243" spans="1:13" ht="12.75">
      <c r="A243" s="39" t="s">
        <v>167</v>
      </c>
      <c r="B243" s="40"/>
      <c r="C243" s="41"/>
      <c r="D243" s="41"/>
      <c r="E243" s="41">
        <v>256</v>
      </c>
      <c r="F243" s="41"/>
      <c r="G243" s="41"/>
      <c r="H243" s="41"/>
      <c r="I243" s="41"/>
      <c r="J243" s="41"/>
      <c r="K243" s="41"/>
      <c r="L243" s="41"/>
      <c r="M243" s="42">
        <v>256</v>
      </c>
    </row>
    <row r="244" spans="1:13" ht="12.75">
      <c r="A244" s="39" t="s">
        <v>261</v>
      </c>
      <c r="B244" s="40"/>
      <c r="C244" s="41"/>
      <c r="D244" s="41"/>
      <c r="E244" s="41">
        <v>256</v>
      </c>
      <c r="F244" s="41"/>
      <c r="G244" s="41"/>
      <c r="H244" s="41"/>
      <c r="I244" s="41"/>
      <c r="J244" s="41"/>
      <c r="K244" s="41"/>
      <c r="L244" s="41"/>
      <c r="M244" s="42">
        <v>256</v>
      </c>
    </row>
    <row r="245" spans="1:13" ht="12.75">
      <c r="A245" s="39" t="s">
        <v>262</v>
      </c>
      <c r="B245" s="40"/>
      <c r="C245" s="41"/>
      <c r="D245" s="41"/>
      <c r="E245" s="41"/>
      <c r="F245" s="41">
        <v>255</v>
      </c>
      <c r="G245" s="41"/>
      <c r="H245" s="41"/>
      <c r="I245" s="41"/>
      <c r="J245" s="41"/>
      <c r="K245" s="41"/>
      <c r="L245" s="41"/>
      <c r="M245" s="42">
        <v>255</v>
      </c>
    </row>
    <row r="246" spans="1:13" ht="12.75">
      <c r="A246" s="39" t="s">
        <v>263</v>
      </c>
      <c r="B246" s="40">
        <v>255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2">
        <v>255</v>
      </c>
    </row>
    <row r="247" spans="1:13" ht="12.75">
      <c r="A247" s="39" t="s">
        <v>168</v>
      </c>
      <c r="B247" s="40">
        <v>254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>
        <v>254</v>
      </c>
    </row>
    <row r="248" spans="1:13" ht="12.75">
      <c r="A248" s="39" t="s">
        <v>264</v>
      </c>
      <c r="B248" s="40"/>
      <c r="C248" s="41"/>
      <c r="D248" s="41"/>
      <c r="E248" s="41">
        <v>254</v>
      </c>
      <c r="F248" s="41"/>
      <c r="G248" s="41"/>
      <c r="H248" s="41"/>
      <c r="I248" s="41"/>
      <c r="J248" s="41"/>
      <c r="K248" s="41"/>
      <c r="L248" s="41"/>
      <c r="M248" s="42">
        <v>254</v>
      </c>
    </row>
    <row r="249" spans="1:13" ht="12.75">
      <c r="A249" s="39" t="s">
        <v>304</v>
      </c>
      <c r="B249" s="40"/>
      <c r="C249" s="41"/>
      <c r="D249" s="41"/>
      <c r="E249" s="41">
        <v>252</v>
      </c>
      <c r="F249" s="41"/>
      <c r="G249" s="41"/>
      <c r="H249" s="41"/>
      <c r="I249" s="41"/>
      <c r="J249" s="41"/>
      <c r="K249" s="41"/>
      <c r="L249" s="41"/>
      <c r="M249" s="42">
        <v>252</v>
      </c>
    </row>
    <row r="250" spans="1:13" ht="12.75">
      <c r="A250" s="39" t="s">
        <v>334</v>
      </c>
      <c r="B250" s="40"/>
      <c r="C250" s="41"/>
      <c r="D250" s="41"/>
      <c r="E250" s="41">
        <v>252</v>
      </c>
      <c r="F250" s="41"/>
      <c r="G250" s="41"/>
      <c r="H250" s="41"/>
      <c r="I250" s="41"/>
      <c r="J250" s="41"/>
      <c r="K250" s="41"/>
      <c r="L250" s="41"/>
      <c r="M250" s="42">
        <v>252</v>
      </c>
    </row>
    <row r="251" spans="1:13" ht="12.75">
      <c r="A251" s="39" t="s">
        <v>169</v>
      </c>
      <c r="B251" s="40"/>
      <c r="C251" s="41"/>
      <c r="D251" s="41"/>
      <c r="E251" s="41">
        <v>251</v>
      </c>
      <c r="F251" s="41"/>
      <c r="G251" s="41"/>
      <c r="H251" s="41"/>
      <c r="I251" s="41"/>
      <c r="J251" s="41"/>
      <c r="K251" s="41"/>
      <c r="L251" s="41"/>
      <c r="M251" s="42">
        <v>251</v>
      </c>
    </row>
    <row r="252" spans="1:13" ht="12.75">
      <c r="A252" s="39" t="s">
        <v>170</v>
      </c>
      <c r="B252" s="40"/>
      <c r="C252" s="41"/>
      <c r="D252" s="41"/>
      <c r="E252" s="41"/>
      <c r="F252" s="41">
        <v>251</v>
      </c>
      <c r="G252" s="41"/>
      <c r="H252" s="41"/>
      <c r="I252" s="41"/>
      <c r="J252" s="41"/>
      <c r="K252" s="41"/>
      <c r="L252" s="41"/>
      <c r="M252" s="42">
        <v>251</v>
      </c>
    </row>
    <row r="253" spans="1:13" ht="12.75">
      <c r="A253" s="39" t="s">
        <v>172</v>
      </c>
      <c r="B253" s="40"/>
      <c r="C253" s="41"/>
      <c r="D253" s="41"/>
      <c r="E253" s="41"/>
      <c r="F253" s="41"/>
      <c r="G253" s="41"/>
      <c r="H253" s="41">
        <v>250</v>
      </c>
      <c r="I253" s="41"/>
      <c r="J253" s="41"/>
      <c r="K253" s="41"/>
      <c r="L253" s="41"/>
      <c r="M253" s="42">
        <v>250</v>
      </c>
    </row>
    <row r="254" spans="1:13" ht="12.75">
      <c r="A254" s="39" t="s">
        <v>171</v>
      </c>
      <c r="B254" s="40"/>
      <c r="C254" s="41"/>
      <c r="D254" s="41"/>
      <c r="E254" s="41">
        <v>250</v>
      </c>
      <c r="F254" s="41"/>
      <c r="G254" s="41"/>
      <c r="H254" s="41"/>
      <c r="I254" s="41"/>
      <c r="J254" s="41"/>
      <c r="K254" s="41"/>
      <c r="L254" s="41"/>
      <c r="M254" s="42">
        <v>250</v>
      </c>
    </row>
    <row r="255" spans="1:13" ht="12.75">
      <c r="A255" s="39" t="s">
        <v>174</v>
      </c>
      <c r="B255" s="40">
        <v>249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>
        <v>249</v>
      </c>
    </row>
    <row r="256" spans="1:13" ht="12.75">
      <c r="A256" s="39" t="s">
        <v>173</v>
      </c>
      <c r="B256" s="40">
        <v>249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2">
        <v>249</v>
      </c>
    </row>
    <row r="257" spans="1:13" ht="12.75">
      <c r="A257" s="39" t="s">
        <v>175</v>
      </c>
      <c r="B257" s="40"/>
      <c r="C257" s="41"/>
      <c r="D257" s="41"/>
      <c r="E257" s="41"/>
      <c r="F257" s="41">
        <v>248</v>
      </c>
      <c r="G257" s="41"/>
      <c r="H257" s="41"/>
      <c r="I257" s="41"/>
      <c r="J257" s="41"/>
      <c r="K257" s="41"/>
      <c r="L257" s="41"/>
      <c r="M257" s="42">
        <v>248</v>
      </c>
    </row>
    <row r="258" spans="1:13" ht="12.75">
      <c r="A258" s="39" t="s">
        <v>176</v>
      </c>
      <c r="B258" s="40"/>
      <c r="C258" s="41"/>
      <c r="D258" s="41"/>
      <c r="E258" s="41"/>
      <c r="F258" s="41"/>
      <c r="G258" s="41">
        <v>244</v>
      </c>
      <c r="H258" s="41"/>
      <c r="I258" s="41"/>
      <c r="J258" s="41"/>
      <c r="K258" s="41"/>
      <c r="L258" s="41"/>
      <c r="M258" s="42">
        <v>244</v>
      </c>
    </row>
    <row r="259" spans="1:13" ht="12.75">
      <c r="A259" s="39" t="s">
        <v>335</v>
      </c>
      <c r="B259" s="40"/>
      <c r="C259" s="41"/>
      <c r="D259" s="41"/>
      <c r="E259" s="41">
        <v>243</v>
      </c>
      <c r="F259" s="41"/>
      <c r="G259" s="41"/>
      <c r="H259" s="41"/>
      <c r="I259" s="41"/>
      <c r="J259" s="41"/>
      <c r="K259" s="41"/>
      <c r="L259" s="41"/>
      <c r="M259" s="42">
        <v>243</v>
      </c>
    </row>
    <row r="260" spans="1:13" ht="12.75">
      <c r="A260" s="39" t="s">
        <v>177</v>
      </c>
      <c r="B260" s="40"/>
      <c r="C260" s="41"/>
      <c r="D260" s="41"/>
      <c r="E260" s="41"/>
      <c r="F260" s="41"/>
      <c r="G260" s="41">
        <v>242</v>
      </c>
      <c r="H260" s="41"/>
      <c r="I260" s="41"/>
      <c r="J260" s="41"/>
      <c r="K260" s="41"/>
      <c r="L260" s="41"/>
      <c r="M260" s="42">
        <v>242</v>
      </c>
    </row>
    <row r="261" spans="1:13" ht="12.75">
      <c r="A261" s="39" t="s">
        <v>178</v>
      </c>
      <c r="B261" s="40"/>
      <c r="C261" s="41"/>
      <c r="D261" s="41"/>
      <c r="E261" s="41"/>
      <c r="F261" s="41">
        <v>241</v>
      </c>
      <c r="G261" s="41"/>
      <c r="H261" s="41"/>
      <c r="I261" s="41"/>
      <c r="J261" s="41"/>
      <c r="K261" s="41"/>
      <c r="L261" s="41"/>
      <c r="M261" s="42">
        <v>241</v>
      </c>
    </row>
    <row r="262" spans="1:13" ht="12.75">
      <c r="A262" s="39" t="s">
        <v>265</v>
      </c>
      <c r="B262" s="40"/>
      <c r="C262" s="41"/>
      <c r="D262" s="41"/>
      <c r="E262" s="41"/>
      <c r="F262" s="41">
        <v>240</v>
      </c>
      <c r="G262" s="41"/>
      <c r="H262" s="41"/>
      <c r="I262" s="41"/>
      <c r="J262" s="41"/>
      <c r="K262" s="41"/>
      <c r="L262" s="41"/>
      <c r="M262" s="42">
        <v>240</v>
      </c>
    </row>
    <row r="263" spans="1:13" ht="12.75">
      <c r="A263" s="39" t="s">
        <v>336</v>
      </c>
      <c r="B263" s="40"/>
      <c r="C263" s="41"/>
      <c r="D263" s="41"/>
      <c r="E263" s="41">
        <v>239</v>
      </c>
      <c r="F263" s="41"/>
      <c r="G263" s="41"/>
      <c r="H263" s="41"/>
      <c r="I263" s="41"/>
      <c r="J263" s="41"/>
      <c r="K263" s="41"/>
      <c r="L263" s="41"/>
      <c r="M263" s="42">
        <v>239</v>
      </c>
    </row>
    <row r="264" spans="1:13" ht="12.75">
      <c r="A264" s="39" t="s">
        <v>305</v>
      </c>
      <c r="B264" s="40"/>
      <c r="C264" s="41"/>
      <c r="D264" s="41"/>
      <c r="E264" s="41">
        <v>239</v>
      </c>
      <c r="F264" s="41"/>
      <c r="G264" s="41"/>
      <c r="H264" s="41"/>
      <c r="I264" s="41"/>
      <c r="J264" s="41"/>
      <c r="K264" s="41"/>
      <c r="L264" s="41"/>
      <c r="M264" s="42">
        <v>239</v>
      </c>
    </row>
    <row r="265" spans="1:13" ht="12.75">
      <c r="A265" s="39" t="s">
        <v>179</v>
      </c>
      <c r="B265" s="40"/>
      <c r="C265" s="41"/>
      <c r="D265" s="41"/>
      <c r="E265" s="41"/>
      <c r="F265" s="41"/>
      <c r="G265" s="41"/>
      <c r="H265" s="41">
        <v>238</v>
      </c>
      <c r="I265" s="41"/>
      <c r="J265" s="41"/>
      <c r="K265" s="41"/>
      <c r="L265" s="41"/>
      <c r="M265" s="42">
        <v>238</v>
      </c>
    </row>
    <row r="266" spans="1:13" ht="12.75">
      <c r="A266" s="39" t="s">
        <v>180</v>
      </c>
      <c r="B266" s="40"/>
      <c r="C266" s="41"/>
      <c r="D266" s="41"/>
      <c r="E266" s="41"/>
      <c r="F266" s="41">
        <v>238</v>
      </c>
      <c r="G266" s="41"/>
      <c r="H266" s="41"/>
      <c r="I266" s="41"/>
      <c r="J266" s="41"/>
      <c r="K266" s="41"/>
      <c r="L266" s="41"/>
      <c r="M266" s="42">
        <v>238</v>
      </c>
    </row>
    <row r="267" spans="1:13" ht="12.75">
      <c r="A267" s="39" t="s">
        <v>182</v>
      </c>
      <c r="B267" s="40">
        <v>137</v>
      </c>
      <c r="C267" s="41"/>
      <c r="D267" s="41"/>
      <c r="E267" s="41"/>
      <c r="F267" s="41"/>
      <c r="G267" s="41"/>
      <c r="H267" s="41"/>
      <c r="I267" s="41"/>
      <c r="J267" s="41"/>
      <c r="K267" s="41">
        <v>99</v>
      </c>
      <c r="L267" s="41"/>
      <c r="M267" s="42">
        <v>236</v>
      </c>
    </row>
    <row r="268" spans="1:13" ht="12.75">
      <c r="A268" s="39" t="s">
        <v>367</v>
      </c>
      <c r="B268" s="40"/>
      <c r="C268" s="41"/>
      <c r="D268" s="41"/>
      <c r="E268" s="41"/>
      <c r="F268" s="41"/>
      <c r="G268" s="41"/>
      <c r="H268" s="41"/>
      <c r="I268" s="41"/>
      <c r="J268" s="41">
        <v>235.10000000000002</v>
      </c>
      <c r="K268" s="41"/>
      <c r="L268" s="41"/>
      <c r="M268" s="42">
        <v>235.10000000000002</v>
      </c>
    </row>
    <row r="269" spans="1:13" ht="12.75">
      <c r="A269" s="39" t="s">
        <v>266</v>
      </c>
      <c r="B269" s="40">
        <v>235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2">
        <v>235</v>
      </c>
    </row>
    <row r="270" spans="1:13" ht="12.75">
      <c r="A270" s="39" t="s">
        <v>183</v>
      </c>
      <c r="B270" s="40"/>
      <c r="C270" s="41"/>
      <c r="D270" s="41"/>
      <c r="E270" s="41"/>
      <c r="F270" s="41"/>
      <c r="G270" s="41">
        <v>234</v>
      </c>
      <c r="H270" s="41"/>
      <c r="I270" s="41"/>
      <c r="J270" s="41"/>
      <c r="K270" s="41"/>
      <c r="L270" s="41"/>
      <c r="M270" s="42">
        <v>234</v>
      </c>
    </row>
    <row r="271" spans="1:13" ht="12.75">
      <c r="A271" s="39" t="s">
        <v>306</v>
      </c>
      <c r="B271" s="40"/>
      <c r="C271" s="41"/>
      <c r="D271" s="41"/>
      <c r="E271" s="41"/>
      <c r="F271" s="41"/>
      <c r="G271" s="41"/>
      <c r="H271" s="41"/>
      <c r="I271" s="41"/>
      <c r="J271" s="41">
        <v>233.6</v>
      </c>
      <c r="K271" s="41"/>
      <c r="L271" s="41"/>
      <c r="M271" s="42">
        <v>233.6</v>
      </c>
    </row>
    <row r="272" spans="1:13" ht="12.75">
      <c r="A272" s="39" t="s">
        <v>184</v>
      </c>
      <c r="B272" s="40"/>
      <c r="C272" s="41"/>
      <c r="D272" s="41"/>
      <c r="E272" s="41"/>
      <c r="F272" s="41">
        <v>232</v>
      </c>
      <c r="G272" s="41"/>
      <c r="H272" s="41"/>
      <c r="I272" s="41"/>
      <c r="J272" s="41"/>
      <c r="K272" s="41"/>
      <c r="L272" s="41"/>
      <c r="M272" s="42">
        <v>232</v>
      </c>
    </row>
    <row r="273" spans="1:13" ht="12.75">
      <c r="A273" s="39" t="s">
        <v>337</v>
      </c>
      <c r="B273" s="40"/>
      <c r="C273" s="41"/>
      <c r="D273" s="41"/>
      <c r="E273" s="41">
        <v>231</v>
      </c>
      <c r="F273" s="41"/>
      <c r="G273" s="41"/>
      <c r="H273" s="41"/>
      <c r="I273" s="41"/>
      <c r="J273" s="41"/>
      <c r="K273" s="41"/>
      <c r="L273" s="41"/>
      <c r="M273" s="42">
        <v>231</v>
      </c>
    </row>
    <row r="274" spans="1:13" ht="12.75">
      <c r="A274" s="39" t="s">
        <v>338</v>
      </c>
      <c r="B274" s="40"/>
      <c r="C274" s="41"/>
      <c r="D274" s="41"/>
      <c r="E274" s="41">
        <v>230</v>
      </c>
      <c r="F274" s="41"/>
      <c r="G274" s="41"/>
      <c r="H274" s="41"/>
      <c r="I274" s="41"/>
      <c r="J274" s="41"/>
      <c r="K274" s="41"/>
      <c r="L274" s="41"/>
      <c r="M274" s="42">
        <v>230</v>
      </c>
    </row>
    <row r="275" spans="1:13" ht="12.75">
      <c r="A275" s="39" t="s">
        <v>185</v>
      </c>
      <c r="B275" s="40"/>
      <c r="C275" s="41"/>
      <c r="D275" s="41"/>
      <c r="E275" s="41"/>
      <c r="F275" s="41"/>
      <c r="G275" s="41">
        <v>228</v>
      </c>
      <c r="H275" s="41"/>
      <c r="I275" s="41"/>
      <c r="J275" s="41"/>
      <c r="K275" s="41"/>
      <c r="L275" s="41"/>
      <c r="M275" s="42">
        <v>228</v>
      </c>
    </row>
    <row r="276" spans="1:13" ht="12.75">
      <c r="A276" s="39" t="s">
        <v>339</v>
      </c>
      <c r="B276" s="40"/>
      <c r="C276" s="41"/>
      <c r="D276" s="41"/>
      <c r="E276" s="41"/>
      <c r="F276" s="41"/>
      <c r="G276" s="41"/>
      <c r="H276" s="41"/>
      <c r="I276" s="41"/>
      <c r="J276" s="41">
        <v>227.10000000000002</v>
      </c>
      <c r="K276" s="41"/>
      <c r="L276" s="41"/>
      <c r="M276" s="42">
        <v>227.10000000000002</v>
      </c>
    </row>
    <row r="277" spans="1:13" ht="12.75">
      <c r="A277" s="39" t="s">
        <v>267</v>
      </c>
      <c r="B277" s="40"/>
      <c r="C277" s="41"/>
      <c r="D277" s="41"/>
      <c r="E277" s="41"/>
      <c r="F277" s="41">
        <v>224</v>
      </c>
      <c r="G277" s="41"/>
      <c r="H277" s="41"/>
      <c r="I277" s="41"/>
      <c r="J277" s="41"/>
      <c r="K277" s="41"/>
      <c r="L277" s="41"/>
      <c r="M277" s="42">
        <v>224</v>
      </c>
    </row>
    <row r="278" spans="1:13" ht="12.75">
      <c r="A278" s="39" t="s">
        <v>268</v>
      </c>
      <c r="B278" s="40"/>
      <c r="C278" s="41"/>
      <c r="D278" s="41"/>
      <c r="E278" s="41"/>
      <c r="F278" s="41">
        <v>223</v>
      </c>
      <c r="G278" s="41"/>
      <c r="H278" s="41"/>
      <c r="I278" s="41"/>
      <c r="J278" s="41"/>
      <c r="K278" s="41"/>
      <c r="L278" s="41"/>
      <c r="M278" s="42">
        <v>223</v>
      </c>
    </row>
    <row r="279" spans="1:13" ht="12.75">
      <c r="A279" s="39" t="s">
        <v>269</v>
      </c>
      <c r="B279" s="40"/>
      <c r="C279" s="41"/>
      <c r="D279" s="41"/>
      <c r="E279" s="41">
        <v>223</v>
      </c>
      <c r="F279" s="41"/>
      <c r="G279" s="41"/>
      <c r="H279" s="41"/>
      <c r="I279" s="41"/>
      <c r="J279" s="41"/>
      <c r="K279" s="41"/>
      <c r="L279" s="41"/>
      <c r="M279" s="42">
        <v>223</v>
      </c>
    </row>
    <row r="280" spans="1:13" ht="12.75">
      <c r="A280" s="39" t="s">
        <v>307</v>
      </c>
      <c r="B280" s="40"/>
      <c r="C280" s="41"/>
      <c r="D280" s="41"/>
      <c r="E280" s="41">
        <v>222</v>
      </c>
      <c r="F280" s="41"/>
      <c r="G280" s="41"/>
      <c r="H280" s="41"/>
      <c r="I280" s="41"/>
      <c r="J280" s="41"/>
      <c r="K280" s="41"/>
      <c r="L280" s="41"/>
      <c r="M280" s="42">
        <v>222</v>
      </c>
    </row>
    <row r="281" spans="1:13" ht="12.75">
      <c r="A281" s="39" t="s">
        <v>186</v>
      </c>
      <c r="B281" s="40"/>
      <c r="C281" s="41"/>
      <c r="D281" s="41"/>
      <c r="E281" s="41"/>
      <c r="F281" s="41"/>
      <c r="G281" s="41">
        <v>220</v>
      </c>
      <c r="H281" s="41"/>
      <c r="I281" s="41"/>
      <c r="J281" s="41"/>
      <c r="K281" s="41"/>
      <c r="L281" s="41"/>
      <c r="M281" s="42">
        <v>220</v>
      </c>
    </row>
    <row r="282" spans="1:13" ht="12.75">
      <c r="A282" s="39" t="s">
        <v>270</v>
      </c>
      <c r="B282" s="40"/>
      <c r="C282" s="41"/>
      <c r="D282" s="41"/>
      <c r="E282" s="41">
        <v>217</v>
      </c>
      <c r="F282" s="41"/>
      <c r="G282" s="41"/>
      <c r="H282" s="41"/>
      <c r="I282" s="41"/>
      <c r="J282" s="41"/>
      <c r="K282" s="41"/>
      <c r="L282" s="41"/>
      <c r="M282" s="42">
        <v>217</v>
      </c>
    </row>
    <row r="283" spans="1:13" ht="12.75">
      <c r="A283" s="39" t="s">
        <v>187</v>
      </c>
      <c r="B283" s="40"/>
      <c r="C283" s="41"/>
      <c r="D283" s="41"/>
      <c r="E283" s="41">
        <v>214</v>
      </c>
      <c r="F283" s="41"/>
      <c r="G283" s="41"/>
      <c r="H283" s="41"/>
      <c r="I283" s="41"/>
      <c r="J283" s="41"/>
      <c r="K283" s="41"/>
      <c r="L283" s="41"/>
      <c r="M283" s="42">
        <v>214</v>
      </c>
    </row>
    <row r="284" spans="1:13" ht="12.75">
      <c r="A284" s="39" t="s">
        <v>340</v>
      </c>
      <c r="B284" s="40"/>
      <c r="C284" s="41"/>
      <c r="D284" s="41"/>
      <c r="E284" s="41">
        <v>213</v>
      </c>
      <c r="F284" s="41"/>
      <c r="G284" s="41"/>
      <c r="H284" s="41"/>
      <c r="I284" s="41"/>
      <c r="J284" s="41"/>
      <c r="K284" s="41"/>
      <c r="L284" s="41"/>
      <c r="M284" s="42">
        <v>213</v>
      </c>
    </row>
    <row r="285" spans="1:13" ht="12.75">
      <c r="A285" s="39" t="s">
        <v>271</v>
      </c>
      <c r="B285" s="40">
        <v>213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>
        <v>213</v>
      </c>
    </row>
    <row r="286" spans="1:13" ht="12.75">
      <c r="A286" s="39" t="s">
        <v>188</v>
      </c>
      <c r="B286" s="40">
        <v>210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>
        <v>210</v>
      </c>
    </row>
    <row r="287" spans="1:13" ht="12.75">
      <c r="A287" s="39" t="s">
        <v>189</v>
      </c>
      <c r="B287" s="40"/>
      <c r="C287" s="41"/>
      <c r="D287" s="41"/>
      <c r="E287" s="41"/>
      <c r="F287" s="41"/>
      <c r="G287" s="41"/>
      <c r="H287" s="41">
        <v>208</v>
      </c>
      <c r="I287" s="41"/>
      <c r="J287" s="41"/>
      <c r="K287" s="41"/>
      <c r="L287" s="41"/>
      <c r="M287" s="42">
        <v>208</v>
      </c>
    </row>
    <row r="288" spans="1:13" ht="12.75">
      <c r="A288" s="39" t="s">
        <v>190</v>
      </c>
      <c r="B288" s="40"/>
      <c r="C288" s="41"/>
      <c r="D288" s="41"/>
      <c r="E288" s="41"/>
      <c r="F288" s="41"/>
      <c r="G288" s="41">
        <v>206</v>
      </c>
      <c r="H288" s="41"/>
      <c r="I288" s="41"/>
      <c r="J288" s="41"/>
      <c r="K288" s="41"/>
      <c r="L288" s="41"/>
      <c r="M288" s="42">
        <v>206</v>
      </c>
    </row>
    <row r="289" spans="1:13" ht="12.75">
      <c r="A289" s="39" t="s">
        <v>272</v>
      </c>
      <c r="B289" s="40"/>
      <c r="C289" s="41"/>
      <c r="D289" s="41"/>
      <c r="E289" s="41"/>
      <c r="F289" s="41"/>
      <c r="G289" s="41">
        <v>204</v>
      </c>
      <c r="H289" s="41"/>
      <c r="I289" s="41"/>
      <c r="J289" s="41"/>
      <c r="K289" s="41"/>
      <c r="L289" s="41"/>
      <c r="M289" s="42">
        <v>204</v>
      </c>
    </row>
    <row r="290" spans="1:13" ht="12.75">
      <c r="A290" s="39" t="s">
        <v>273</v>
      </c>
      <c r="B290" s="40"/>
      <c r="C290" s="41"/>
      <c r="D290" s="41"/>
      <c r="E290" s="41"/>
      <c r="F290" s="41">
        <v>193</v>
      </c>
      <c r="G290" s="41"/>
      <c r="H290" s="41"/>
      <c r="I290" s="41"/>
      <c r="J290" s="41"/>
      <c r="K290" s="41"/>
      <c r="L290" s="41"/>
      <c r="M290" s="42">
        <v>193</v>
      </c>
    </row>
    <row r="291" spans="1:13" ht="12.75">
      <c r="A291" s="39" t="s">
        <v>191</v>
      </c>
      <c r="B291" s="40"/>
      <c r="C291" s="41"/>
      <c r="D291" s="41"/>
      <c r="E291" s="41"/>
      <c r="F291" s="41"/>
      <c r="G291" s="41">
        <v>193</v>
      </c>
      <c r="H291" s="41"/>
      <c r="I291" s="41"/>
      <c r="J291" s="41"/>
      <c r="K291" s="41"/>
      <c r="L291" s="41"/>
      <c r="M291" s="42">
        <v>193</v>
      </c>
    </row>
    <row r="292" spans="1:13" ht="12.75">
      <c r="A292" s="39" t="s">
        <v>274</v>
      </c>
      <c r="B292" s="40"/>
      <c r="C292" s="41"/>
      <c r="D292" s="41"/>
      <c r="E292" s="41">
        <v>192</v>
      </c>
      <c r="F292" s="41"/>
      <c r="G292" s="41"/>
      <c r="H292" s="41"/>
      <c r="I292" s="41"/>
      <c r="J292" s="41"/>
      <c r="K292" s="41"/>
      <c r="L292" s="41"/>
      <c r="M292" s="42">
        <v>192</v>
      </c>
    </row>
    <row r="293" spans="1:13" ht="12.75">
      <c r="A293" s="39" t="s">
        <v>275</v>
      </c>
      <c r="B293" s="40"/>
      <c r="C293" s="41"/>
      <c r="D293" s="41">
        <v>190</v>
      </c>
      <c r="E293" s="41"/>
      <c r="F293" s="41"/>
      <c r="G293" s="41"/>
      <c r="H293" s="41"/>
      <c r="I293" s="41"/>
      <c r="J293" s="41"/>
      <c r="K293" s="41"/>
      <c r="L293" s="41"/>
      <c r="M293" s="42">
        <v>190</v>
      </c>
    </row>
    <row r="294" spans="1:13" ht="12.75">
      <c r="A294" s="39" t="s">
        <v>192</v>
      </c>
      <c r="B294" s="40"/>
      <c r="C294" s="41"/>
      <c r="D294" s="41"/>
      <c r="E294" s="41"/>
      <c r="F294" s="41"/>
      <c r="G294" s="41">
        <v>183</v>
      </c>
      <c r="H294" s="41"/>
      <c r="I294" s="41"/>
      <c r="J294" s="41"/>
      <c r="K294" s="41"/>
      <c r="L294" s="41"/>
      <c r="M294" s="42">
        <v>183</v>
      </c>
    </row>
    <row r="295" spans="1:13" ht="12.75">
      <c r="A295" s="39" t="s">
        <v>276</v>
      </c>
      <c r="B295" s="40"/>
      <c r="C295" s="41"/>
      <c r="D295" s="41"/>
      <c r="E295" s="41"/>
      <c r="F295" s="41"/>
      <c r="G295" s="41"/>
      <c r="H295" s="41"/>
      <c r="I295" s="41"/>
      <c r="J295" s="41"/>
      <c r="K295" s="41">
        <v>178</v>
      </c>
      <c r="L295" s="41"/>
      <c r="M295" s="42">
        <v>178</v>
      </c>
    </row>
    <row r="296" spans="1:13" ht="12.75">
      <c r="A296" s="39" t="s">
        <v>193</v>
      </c>
      <c r="B296" s="40"/>
      <c r="C296" s="41"/>
      <c r="D296" s="41"/>
      <c r="E296" s="41"/>
      <c r="F296" s="41"/>
      <c r="G296" s="41"/>
      <c r="H296" s="41"/>
      <c r="I296" s="41"/>
      <c r="J296" s="41"/>
      <c r="K296" s="41">
        <v>177</v>
      </c>
      <c r="L296" s="41"/>
      <c r="M296" s="42">
        <v>177</v>
      </c>
    </row>
    <row r="297" spans="1:13" ht="12.75">
      <c r="A297" s="39" t="s">
        <v>194</v>
      </c>
      <c r="B297" s="40"/>
      <c r="C297" s="41"/>
      <c r="D297" s="41"/>
      <c r="E297" s="41"/>
      <c r="F297" s="41"/>
      <c r="G297" s="41"/>
      <c r="H297" s="41"/>
      <c r="I297" s="41"/>
      <c r="J297" s="41"/>
      <c r="K297" s="41">
        <v>176</v>
      </c>
      <c r="L297" s="41"/>
      <c r="M297" s="42">
        <v>176</v>
      </c>
    </row>
    <row r="298" spans="1:13" ht="12.75">
      <c r="A298" s="39" t="s">
        <v>196</v>
      </c>
      <c r="B298" s="40"/>
      <c r="C298" s="41"/>
      <c r="D298" s="41"/>
      <c r="E298" s="41"/>
      <c r="F298" s="41"/>
      <c r="G298" s="41"/>
      <c r="H298" s="41"/>
      <c r="I298" s="41"/>
      <c r="J298" s="41"/>
      <c r="K298" s="41">
        <v>172</v>
      </c>
      <c r="L298" s="41"/>
      <c r="M298" s="42">
        <v>172</v>
      </c>
    </row>
    <row r="299" spans="1:13" ht="12.75">
      <c r="A299" s="39" t="s">
        <v>197</v>
      </c>
      <c r="B299" s="40"/>
      <c r="C299" s="41">
        <v>172</v>
      </c>
      <c r="D299" s="41"/>
      <c r="E299" s="41"/>
      <c r="F299" s="41"/>
      <c r="G299" s="41"/>
      <c r="H299" s="41"/>
      <c r="I299" s="41"/>
      <c r="J299" s="41"/>
      <c r="K299" s="41"/>
      <c r="L299" s="41"/>
      <c r="M299" s="42">
        <v>172</v>
      </c>
    </row>
    <row r="300" spans="1:13" ht="12.75">
      <c r="A300" s="39" t="s">
        <v>195</v>
      </c>
      <c r="B300" s="40"/>
      <c r="C300" s="41"/>
      <c r="D300" s="41"/>
      <c r="E300" s="41"/>
      <c r="F300" s="41"/>
      <c r="G300" s="41"/>
      <c r="H300" s="41"/>
      <c r="I300" s="41"/>
      <c r="J300" s="41"/>
      <c r="K300" s="41">
        <v>172</v>
      </c>
      <c r="L300" s="41"/>
      <c r="M300" s="42">
        <v>172</v>
      </c>
    </row>
    <row r="301" spans="1:13" ht="12.75">
      <c r="A301" s="39" t="s">
        <v>341</v>
      </c>
      <c r="B301" s="40"/>
      <c r="C301" s="41"/>
      <c r="D301" s="41"/>
      <c r="E301" s="41">
        <v>170</v>
      </c>
      <c r="F301" s="41"/>
      <c r="G301" s="41"/>
      <c r="H301" s="41"/>
      <c r="I301" s="41"/>
      <c r="J301" s="41"/>
      <c r="K301" s="41"/>
      <c r="L301" s="41"/>
      <c r="M301" s="42">
        <v>170</v>
      </c>
    </row>
    <row r="302" spans="1:13" ht="12.75">
      <c r="A302" s="39" t="s">
        <v>198</v>
      </c>
      <c r="B302" s="40"/>
      <c r="C302" s="41"/>
      <c r="D302" s="41"/>
      <c r="E302" s="41"/>
      <c r="F302" s="41"/>
      <c r="G302" s="41"/>
      <c r="H302" s="41"/>
      <c r="I302" s="41"/>
      <c r="J302" s="41"/>
      <c r="K302" s="41">
        <v>168</v>
      </c>
      <c r="L302" s="41"/>
      <c r="M302" s="42">
        <v>168</v>
      </c>
    </row>
    <row r="303" spans="1:13" ht="12.75">
      <c r="A303" s="39" t="s">
        <v>308</v>
      </c>
      <c r="B303" s="40"/>
      <c r="C303" s="41"/>
      <c r="D303" s="41"/>
      <c r="E303" s="41">
        <v>153</v>
      </c>
      <c r="F303" s="41"/>
      <c r="G303" s="41"/>
      <c r="H303" s="41"/>
      <c r="I303" s="41"/>
      <c r="J303" s="41"/>
      <c r="K303" s="41"/>
      <c r="L303" s="41"/>
      <c r="M303" s="42">
        <v>153</v>
      </c>
    </row>
    <row r="304" spans="1:13" ht="12.75">
      <c r="A304" s="39" t="s">
        <v>199</v>
      </c>
      <c r="B304" s="40"/>
      <c r="C304" s="41"/>
      <c r="D304" s="41"/>
      <c r="E304" s="41"/>
      <c r="F304" s="41">
        <v>146</v>
      </c>
      <c r="G304" s="41"/>
      <c r="H304" s="41"/>
      <c r="I304" s="41"/>
      <c r="J304" s="41"/>
      <c r="K304" s="41"/>
      <c r="L304" s="41"/>
      <c r="M304" s="42">
        <v>146</v>
      </c>
    </row>
    <row r="305" spans="1:13" ht="12.75">
      <c r="A305" s="39" t="s">
        <v>200</v>
      </c>
      <c r="B305" s="40"/>
      <c r="C305" s="41"/>
      <c r="D305" s="41"/>
      <c r="E305" s="41"/>
      <c r="F305" s="41"/>
      <c r="G305" s="41">
        <v>140</v>
      </c>
      <c r="H305" s="41"/>
      <c r="I305" s="41"/>
      <c r="J305" s="41"/>
      <c r="K305" s="41"/>
      <c r="L305" s="41"/>
      <c r="M305" s="42">
        <v>140</v>
      </c>
    </row>
    <row r="306" spans="1:13" ht="12.75">
      <c r="A306" s="39" t="s">
        <v>201</v>
      </c>
      <c r="B306" s="40"/>
      <c r="C306" s="41"/>
      <c r="D306" s="41"/>
      <c r="E306" s="41"/>
      <c r="F306" s="41"/>
      <c r="G306" s="41">
        <v>137</v>
      </c>
      <c r="H306" s="41"/>
      <c r="I306" s="41"/>
      <c r="J306" s="41"/>
      <c r="K306" s="41"/>
      <c r="L306" s="41"/>
      <c r="M306" s="42">
        <v>137</v>
      </c>
    </row>
    <row r="307" spans="1:13" ht="12.75">
      <c r="A307" s="39" t="s">
        <v>277</v>
      </c>
      <c r="B307" s="40">
        <v>120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>
        <v>120</v>
      </c>
    </row>
    <row r="308" spans="1:13" ht="12.75">
      <c r="A308" s="39" t="s">
        <v>278</v>
      </c>
      <c r="B308" s="40"/>
      <c r="C308" s="41">
        <v>105</v>
      </c>
      <c r="D308" s="41"/>
      <c r="E308" s="41"/>
      <c r="F308" s="41"/>
      <c r="G308" s="41"/>
      <c r="H308" s="41"/>
      <c r="I308" s="41"/>
      <c r="J308" s="41"/>
      <c r="K308" s="41"/>
      <c r="L308" s="41"/>
      <c r="M308" s="42">
        <v>105</v>
      </c>
    </row>
    <row r="309" spans="1:13" ht="12.75">
      <c r="A309" s="39" t="s">
        <v>342</v>
      </c>
      <c r="B309" s="40"/>
      <c r="C309" s="41"/>
      <c r="D309" s="41"/>
      <c r="E309" s="41">
        <v>91</v>
      </c>
      <c r="F309" s="41"/>
      <c r="G309" s="41"/>
      <c r="H309" s="41"/>
      <c r="I309" s="41"/>
      <c r="J309" s="41"/>
      <c r="K309" s="41"/>
      <c r="L309" s="41"/>
      <c r="M309" s="42">
        <v>91</v>
      </c>
    </row>
    <row r="310" spans="1:13" ht="12.75">
      <c r="A310" s="39" t="s">
        <v>202</v>
      </c>
      <c r="B310" s="40"/>
      <c r="C310" s="41">
        <v>73</v>
      </c>
      <c r="D310" s="41"/>
      <c r="E310" s="41"/>
      <c r="F310" s="41"/>
      <c r="G310" s="41"/>
      <c r="H310" s="41"/>
      <c r="I310" s="41"/>
      <c r="J310" s="41"/>
      <c r="K310" s="41"/>
      <c r="L310" s="41"/>
      <c r="M310" s="42">
        <v>73</v>
      </c>
    </row>
    <row r="311" spans="1:13" ht="12.75">
      <c r="A311" s="39" t="s">
        <v>426</v>
      </c>
      <c r="B311" s="40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2"/>
    </row>
    <row r="312" spans="1:13" ht="12.75">
      <c r="A312" s="43" t="s">
        <v>425</v>
      </c>
      <c r="B312" s="44">
        <v>19315</v>
      </c>
      <c r="C312" s="45">
        <v>5069</v>
      </c>
      <c r="D312" s="45">
        <v>12883</v>
      </c>
      <c r="E312" s="45">
        <v>13450</v>
      </c>
      <c r="F312" s="45">
        <v>10695</v>
      </c>
      <c r="G312" s="45">
        <v>13789</v>
      </c>
      <c r="H312" s="45">
        <v>5009</v>
      </c>
      <c r="I312" s="45">
        <v>23969</v>
      </c>
      <c r="J312" s="45">
        <v>24240.499999999996</v>
      </c>
      <c r="K312" s="45">
        <v>4302</v>
      </c>
      <c r="L312" s="45"/>
      <c r="M312" s="46">
        <v>132721.49999999997</v>
      </c>
    </row>
    <row r="313" spans="1:13" ht="12.75">
      <c r="A313" s="1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3" ht="12.75">
      <c r="A314" s="1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2:12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2:12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2:12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2:12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2:12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2:12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2:12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2:12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2:12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2:12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2:12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2:12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2:12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2:12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2:12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2:12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2:12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2:12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2:12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2:12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2:12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2:12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2:12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2:12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2:12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2:12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2:12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2:12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2:12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2:12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2:12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2:12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2:12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2:12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2:12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2:12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2:12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2:12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2:12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2:12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2:12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2:12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2:12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2:12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2:12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2:12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2:12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2:12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2:12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2:12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2:12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2:12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2:12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2:12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2:12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2:12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274E13"/>
    <outlinePr summaryBelow="0" summaryRight="0"/>
    <pageSetUpPr fitToPage="1"/>
  </sheetPr>
  <dimension ref="A1:U512"/>
  <sheetViews>
    <sheetView workbookViewId="0"/>
  </sheetViews>
  <sheetFormatPr defaultColWidth="12.5703125" defaultRowHeight="15.75" customHeight="1"/>
  <cols>
    <col min="1" max="1" width="21.140625" customWidth="1"/>
    <col min="2" max="2" width="14.28515625" customWidth="1"/>
    <col min="3" max="3" width="6" customWidth="1"/>
    <col min="4" max="4" width="17.85546875" customWidth="1"/>
    <col min="5" max="6" width="10.5703125" customWidth="1"/>
    <col min="7" max="13" width="7.85546875" customWidth="1"/>
    <col min="14" max="14" width="9.85546875" customWidth="1"/>
    <col min="15" max="24" width="8" customWidth="1"/>
  </cols>
  <sheetData>
    <row r="1" spans="1:21">
      <c r="A1" s="18" t="s">
        <v>54</v>
      </c>
      <c r="B1" s="19" t="s">
        <v>2</v>
      </c>
      <c r="C1" s="19" t="s">
        <v>369</v>
      </c>
      <c r="D1" s="20" t="s">
        <v>370</v>
      </c>
      <c r="E1" s="21" t="s">
        <v>371</v>
      </c>
      <c r="F1" s="21" t="s">
        <v>372</v>
      </c>
      <c r="G1" s="22" t="s">
        <v>373</v>
      </c>
      <c r="H1" s="22" t="s">
        <v>374</v>
      </c>
      <c r="I1" s="22" t="s">
        <v>375</v>
      </c>
      <c r="J1" s="22" t="s">
        <v>376</v>
      </c>
      <c r="K1" s="22" t="s">
        <v>377</v>
      </c>
      <c r="L1" s="22" t="s">
        <v>378</v>
      </c>
      <c r="M1" s="22" t="s">
        <v>379</v>
      </c>
      <c r="N1" s="23" t="s">
        <v>380</v>
      </c>
      <c r="O1" s="6"/>
      <c r="P1" s="15"/>
      <c r="U1" s="6"/>
    </row>
    <row r="2" spans="1:21">
      <c r="A2" s="15" t="s">
        <v>58</v>
      </c>
      <c r="B2" s="16" t="s">
        <v>13</v>
      </c>
      <c r="C2" s="15" t="s">
        <v>49</v>
      </c>
      <c r="D2" s="16" t="s">
        <v>3</v>
      </c>
      <c r="E2" s="15" t="s">
        <v>381</v>
      </c>
      <c r="F2" s="15" t="s">
        <v>52</v>
      </c>
      <c r="G2" s="6">
        <v>98</v>
      </c>
      <c r="H2" s="6">
        <v>94</v>
      </c>
      <c r="I2" s="6">
        <v>91</v>
      </c>
      <c r="M2" s="6">
        <f t="shared" ref="M2:M256" si="0">SUM(G2,H2,I2,J2,K2,L2)</f>
        <v>283</v>
      </c>
      <c r="N2" s="15">
        <f t="shared" ref="N2:N5" si="1">M2</f>
        <v>283</v>
      </c>
      <c r="O2" s="6"/>
      <c r="P2" s="6"/>
    </row>
    <row r="3" spans="1:21">
      <c r="A3" s="15" t="s">
        <v>63</v>
      </c>
      <c r="B3" s="16" t="s">
        <v>13</v>
      </c>
      <c r="C3" s="15" t="s">
        <v>49</v>
      </c>
      <c r="D3" s="16" t="s">
        <v>3</v>
      </c>
      <c r="E3" s="15" t="s">
        <v>381</v>
      </c>
      <c r="F3" s="15" t="s">
        <v>52</v>
      </c>
      <c r="G3" s="6">
        <v>94</v>
      </c>
      <c r="H3" s="6">
        <v>84</v>
      </c>
      <c r="I3" s="6">
        <v>88</v>
      </c>
      <c r="M3" s="6">
        <f t="shared" si="0"/>
        <v>266</v>
      </c>
      <c r="N3" s="15">
        <f t="shared" si="1"/>
        <v>266</v>
      </c>
      <c r="O3" s="6"/>
      <c r="P3" s="6"/>
    </row>
    <row r="4" spans="1:21">
      <c r="A4" s="15" t="s">
        <v>56</v>
      </c>
      <c r="B4" s="16" t="s">
        <v>13</v>
      </c>
      <c r="C4" s="15" t="s">
        <v>49</v>
      </c>
      <c r="D4" s="16" t="s">
        <v>3</v>
      </c>
      <c r="E4" s="15" t="s">
        <v>381</v>
      </c>
      <c r="F4" s="15" t="s">
        <v>52</v>
      </c>
      <c r="G4" s="6">
        <v>97</v>
      </c>
      <c r="H4" s="6">
        <v>91</v>
      </c>
      <c r="I4" s="6">
        <v>87</v>
      </c>
      <c r="M4" s="6">
        <f t="shared" si="0"/>
        <v>275</v>
      </c>
      <c r="N4" s="15">
        <f t="shared" si="1"/>
        <v>275</v>
      </c>
      <c r="O4" s="6"/>
      <c r="P4" s="6"/>
    </row>
    <row r="5" spans="1:21">
      <c r="A5" s="15" t="s">
        <v>266</v>
      </c>
      <c r="B5" s="15" t="s">
        <v>13</v>
      </c>
      <c r="C5" s="15" t="s">
        <v>382</v>
      </c>
      <c r="D5" s="16" t="s">
        <v>3</v>
      </c>
      <c r="E5" s="15" t="s">
        <v>381</v>
      </c>
      <c r="F5" s="15" t="s">
        <v>52</v>
      </c>
      <c r="G5" s="6">
        <v>94</v>
      </c>
      <c r="H5" s="6">
        <v>85</v>
      </c>
      <c r="I5" s="6">
        <v>56</v>
      </c>
      <c r="M5" s="6">
        <f t="shared" si="0"/>
        <v>235</v>
      </c>
      <c r="N5" s="15">
        <f t="shared" si="1"/>
        <v>235</v>
      </c>
      <c r="O5" s="6"/>
      <c r="P5" s="6"/>
    </row>
    <row r="6" spans="1:21">
      <c r="A6" s="15" t="s">
        <v>60</v>
      </c>
      <c r="B6" s="15" t="s">
        <v>13</v>
      </c>
      <c r="C6" s="15" t="s">
        <v>49</v>
      </c>
      <c r="D6" s="16" t="s">
        <v>3</v>
      </c>
      <c r="E6" s="15" t="s">
        <v>51</v>
      </c>
      <c r="F6" s="15" t="s">
        <v>52</v>
      </c>
      <c r="G6" s="6">
        <v>98</v>
      </c>
      <c r="H6" s="6">
        <v>93</v>
      </c>
      <c r="I6" s="6">
        <v>77</v>
      </c>
      <c r="M6" s="6">
        <f t="shared" si="0"/>
        <v>268</v>
      </c>
      <c r="N6" s="15"/>
    </row>
    <row r="7" spans="1:21">
      <c r="A7" s="15" t="s">
        <v>224</v>
      </c>
      <c r="B7" s="16" t="s">
        <v>13</v>
      </c>
      <c r="C7" s="15" t="s">
        <v>382</v>
      </c>
      <c r="D7" s="16" t="s">
        <v>3</v>
      </c>
      <c r="E7" s="15" t="s">
        <v>51</v>
      </c>
      <c r="F7" s="15" t="s">
        <v>52</v>
      </c>
      <c r="G7" s="6">
        <v>97</v>
      </c>
      <c r="H7" s="6">
        <v>92</v>
      </c>
      <c r="I7" s="6">
        <v>81</v>
      </c>
      <c r="M7" s="6">
        <f t="shared" si="0"/>
        <v>270</v>
      </c>
      <c r="N7" s="15"/>
    </row>
    <row r="8" spans="1:21">
      <c r="A8" s="15" t="s">
        <v>105</v>
      </c>
      <c r="B8" s="16" t="s">
        <v>16</v>
      </c>
      <c r="C8" s="15" t="s">
        <v>49</v>
      </c>
      <c r="D8" s="16" t="s">
        <v>3</v>
      </c>
      <c r="E8" s="15" t="s">
        <v>381</v>
      </c>
      <c r="F8" s="15" t="s">
        <v>52</v>
      </c>
      <c r="G8" s="6">
        <v>97</v>
      </c>
      <c r="H8" s="6">
        <v>92</v>
      </c>
      <c r="I8" s="6">
        <v>89</v>
      </c>
      <c r="M8" s="6">
        <f t="shared" si="0"/>
        <v>278</v>
      </c>
      <c r="N8" s="15">
        <f t="shared" ref="N8:N10" si="2">M8</f>
        <v>278</v>
      </c>
    </row>
    <row r="9" spans="1:21">
      <c r="A9" s="15" t="s">
        <v>245</v>
      </c>
      <c r="B9" s="15" t="s">
        <v>16</v>
      </c>
      <c r="C9" s="15" t="s">
        <v>382</v>
      </c>
      <c r="D9" s="16" t="s">
        <v>3</v>
      </c>
      <c r="E9" s="15" t="s">
        <v>381</v>
      </c>
      <c r="F9" s="15" t="s">
        <v>52</v>
      </c>
      <c r="G9" s="6">
        <v>88</v>
      </c>
      <c r="H9" s="6">
        <v>78</v>
      </c>
      <c r="I9" s="6">
        <v>62</v>
      </c>
      <c r="M9" s="6">
        <f t="shared" si="0"/>
        <v>228</v>
      </c>
      <c r="N9" s="15">
        <f t="shared" si="2"/>
        <v>228</v>
      </c>
    </row>
    <row r="10" spans="1:21">
      <c r="A10" s="15" t="s">
        <v>104</v>
      </c>
      <c r="B10" s="15" t="s">
        <v>16</v>
      </c>
      <c r="C10" s="15" t="s">
        <v>49</v>
      </c>
      <c r="D10" s="16" t="s">
        <v>3</v>
      </c>
      <c r="E10" s="15" t="s">
        <v>381</v>
      </c>
      <c r="F10" s="15" t="s">
        <v>52</v>
      </c>
      <c r="G10" s="6">
        <v>96</v>
      </c>
      <c r="H10" s="6">
        <v>87</v>
      </c>
      <c r="I10" s="6">
        <v>57</v>
      </c>
      <c r="M10" s="6">
        <f t="shared" si="0"/>
        <v>240</v>
      </c>
      <c r="N10" s="15">
        <f t="shared" si="2"/>
        <v>240</v>
      </c>
    </row>
    <row r="11" spans="1:21">
      <c r="A11" s="15" t="s">
        <v>156</v>
      </c>
      <c r="B11" s="15" t="s">
        <v>16</v>
      </c>
      <c r="C11" s="15" t="s">
        <v>49</v>
      </c>
      <c r="D11" s="16" t="s">
        <v>3</v>
      </c>
      <c r="E11" s="15" t="s">
        <v>51</v>
      </c>
      <c r="F11" s="15" t="s">
        <v>52</v>
      </c>
      <c r="G11" s="6">
        <v>97</v>
      </c>
      <c r="H11" s="6">
        <v>87</v>
      </c>
      <c r="I11" s="6">
        <v>86</v>
      </c>
      <c r="M11" s="6">
        <f t="shared" si="0"/>
        <v>270</v>
      </c>
      <c r="N11" s="15"/>
    </row>
    <row r="12" spans="1:21">
      <c r="A12" s="15" t="s">
        <v>113</v>
      </c>
      <c r="B12" s="15" t="s">
        <v>16</v>
      </c>
      <c r="C12" s="15" t="s">
        <v>49</v>
      </c>
      <c r="D12" s="16" t="s">
        <v>3</v>
      </c>
      <c r="E12" s="15" t="s">
        <v>381</v>
      </c>
      <c r="F12" s="15" t="s">
        <v>52</v>
      </c>
      <c r="G12" s="6">
        <v>92</v>
      </c>
      <c r="H12" s="6">
        <v>90</v>
      </c>
      <c r="I12" s="6">
        <v>74</v>
      </c>
      <c r="M12" s="6">
        <f t="shared" si="0"/>
        <v>256</v>
      </c>
      <c r="N12" s="15">
        <f t="shared" ref="N12:N16" si="3">M12</f>
        <v>256</v>
      </c>
    </row>
    <row r="13" spans="1:21">
      <c r="A13" s="15" t="s">
        <v>66</v>
      </c>
      <c r="B13" s="15" t="s">
        <v>25</v>
      </c>
      <c r="C13" s="15" t="s">
        <v>49</v>
      </c>
      <c r="D13" s="16" t="s">
        <v>3</v>
      </c>
      <c r="E13" s="15" t="s">
        <v>381</v>
      </c>
      <c r="F13" s="15" t="s">
        <v>52</v>
      </c>
      <c r="G13" s="6">
        <v>95</v>
      </c>
      <c r="H13" s="6">
        <v>97</v>
      </c>
      <c r="I13" s="6">
        <v>88</v>
      </c>
      <c r="M13" s="6">
        <f t="shared" si="0"/>
        <v>280</v>
      </c>
      <c r="N13" s="15">
        <f t="shared" si="3"/>
        <v>280</v>
      </c>
    </row>
    <row r="14" spans="1:21">
      <c r="A14" s="15" t="s">
        <v>123</v>
      </c>
      <c r="B14" s="15" t="s">
        <v>25</v>
      </c>
      <c r="C14" s="15" t="s">
        <v>49</v>
      </c>
      <c r="D14" s="16" t="s">
        <v>3</v>
      </c>
      <c r="E14" s="15" t="s">
        <v>381</v>
      </c>
      <c r="F14" s="15" t="s">
        <v>52</v>
      </c>
      <c r="G14" s="6">
        <v>89</v>
      </c>
      <c r="H14" s="6">
        <v>75</v>
      </c>
      <c r="I14" s="6">
        <v>69</v>
      </c>
      <c r="M14" s="6">
        <f t="shared" si="0"/>
        <v>233</v>
      </c>
      <c r="N14" s="15">
        <f t="shared" si="3"/>
        <v>233</v>
      </c>
    </row>
    <row r="15" spans="1:21">
      <c r="A15" s="15" t="s">
        <v>116</v>
      </c>
      <c r="B15" s="15" t="s">
        <v>25</v>
      </c>
      <c r="C15" s="15" t="s">
        <v>49</v>
      </c>
      <c r="D15" s="16" t="s">
        <v>3</v>
      </c>
      <c r="E15" s="15" t="s">
        <v>381</v>
      </c>
      <c r="F15" s="15" t="s">
        <v>52</v>
      </c>
      <c r="G15" s="6">
        <v>96</v>
      </c>
      <c r="H15" s="6">
        <v>89</v>
      </c>
      <c r="I15" s="6">
        <v>85</v>
      </c>
      <c r="M15" s="6">
        <f t="shared" si="0"/>
        <v>270</v>
      </c>
      <c r="N15" s="15">
        <f t="shared" si="3"/>
        <v>270</v>
      </c>
    </row>
    <row r="16" spans="1:21">
      <c r="A16" s="15" t="s">
        <v>241</v>
      </c>
      <c r="B16" s="15" t="s">
        <v>25</v>
      </c>
      <c r="C16" s="15" t="s">
        <v>382</v>
      </c>
      <c r="D16" s="16" t="s">
        <v>3</v>
      </c>
      <c r="E16" s="15" t="s">
        <v>381</v>
      </c>
      <c r="F16" s="15" t="s">
        <v>52</v>
      </c>
      <c r="G16" s="6">
        <v>80</v>
      </c>
      <c r="H16" s="6">
        <v>73</v>
      </c>
      <c r="I16" s="6">
        <v>65</v>
      </c>
      <c r="M16" s="6">
        <f t="shared" si="0"/>
        <v>218</v>
      </c>
      <c r="N16" s="15">
        <f t="shared" si="3"/>
        <v>218</v>
      </c>
    </row>
    <row r="17" spans="1:14">
      <c r="A17" s="15" t="s">
        <v>140</v>
      </c>
      <c r="B17" s="16" t="s">
        <v>25</v>
      </c>
      <c r="C17" s="15" t="s">
        <v>49</v>
      </c>
      <c r="D17" s="16" t="s">
        <v>3</v>
      </c>
      <c r="E17" s="15" t="s">
        <v>51</v>
      </c>
      <c r="F17" s="15" t="s">
        <v>52</v>
      </c>
      <c r="G17" s="6">
        <v>88</v>
      </c>
      <c r="H17" s="6">
        <v>69</v>
      </c>
      <c r="I17" s="6">
        <v>62</v>
      </c>
      <c r="M17" s="6">
        <f t="shared" si="0"/>
        <v>219</v>
      </c>
      <c r="N17" s="15"/>
    </row>
    <row r="18" spans="1:14">
      <c r="A18" s="15" t="s">
        <v>223</v>
      </c>
      <c r="B18" s="15" t="s">
        <v>27</v>
      </c>
      <c r="C18" s="15" t="s">
        <v>382</v>
      </c>
      <c r="D18" s="16" t="s">
        <v>3</v>
      </c>
      <c r="E18" s="15" t="s">
        <v>381</v>
      </c>
      <c r="F18" s="15" t="s">
        <v>52</v>
      </c>
      <c r="G18" s="6">
        <v>97</v>
      </c>
      <c r="H18" s="6">
        <v>99</v>
      </c>
      <c r="I18" s="6">
        <v>92</v>
      </c>
      <c r="M18" s="6">
        <f t="shared" si="0"/>
        <v>288</v>
      </c>
      <c r="N18" s="15">
        <f t="shared" ref="N18:N33" si="4">M18</f>
        <v>288</v>
      </c>
    </row>
    <row r="19" spans="1:14">
      <c r="A19" s="15" t="s">
        <v>128</v>
      </c>
      <c r="B19" s="15" t="s">
        <v>27</v>
      </c>
      <c r="C19" s="15" t="s">
        <v>49</v>
      </c>
      <c r="D19" s="16" t="s">
        <v>3</v>
      </c>
      <c r="E19" s="15" t="s">
        <v>381</v>
      </c>
      <c r="F19" s="15" t="s">
        <v>52</v>
      </c>
      <c r="G19" s="6">
        <v>95</v>
      </c>
      <c r="H19" s="6">
        <v>96</v>
      </c>
      <c r="I19" s="6">
        <v>78</v>
      </c>
      <c r="M19" s="6">
        <f t="shared" si="0"/>
        <v>269</v>
      </c>
      <c r="N19" s="15">
        <f t="shared" si="4"/>
        <v>269</v>
      </c>
    </row>
    <row r="20" spans="1:14">
      <c r="A20" s="15" t="s">
        <v>165</v>
      </c>
      <c r="B20" s="15" t="s">
        <v>27</v>
      </c>
      <c r="C20" s="15" t="s">
        <v>49</v>
      </c>
      <c r="D20" s="16" t="s">
        <v>3</v>
      </c>
      <c r="E20" s="15" t="s">
        <v>381</v>
      </c>
      <c r="F20" s="15" t="s">
        <v>52</v>
      </c>
      <c r="G20" s="6">
        <v>92</v>
      </c>
      <c r="H20" s="6">
        <v>87</v>
      </c>
      <c r="I20" s="6">
        <v>79</v>
      </c>
      <c r="M20" s="6">
        <f t="shared" si="0"/>
        <v>258</v>
      </c>
      <c r="N20" s="15">
        <f t="shared" si="4"/>
        <v>258</v>
      </c>
    </row>
    <row r="21" spans="1:14">
      <c r="A21" s="15" t="s">
        <v>124</v>
      </c>
      <c r="B21" s="15" t="s">
        <v>27</v>
      </c>
      <c r="C21" s="15" t="s">
        <v>49</v>
      </c>
      <c r="D21" s="16" t="s">
        <v>3</v>
      </c>
      <c r="E21" s="15" t="s">
        <v>381</v>
      </c>
      <c r="F21" s="15" t="s">
        <v>52</v>
      </c>
      <c r="G21" s="6">
        <v>91</v>
      </c>
      <c r="H21" s="6">
        <v>85</v>
      </c>
      <c r="I21" s="6">
        <v>55</v>
      </c>
      <c r="M21" s="6">
        <f t="shared" si="0"/>
        <v>231</v>
      </c>
      <c r="N21" s="15">
        <f t="shared" si="4"/>
        <v>231</v>
      </c>
    </row>
    <row r="22" spans="1:14">
      <c r="A22" s="15" t="s">
        <v>72</v>
      </c>
      <c r="B22" s="16" t="s">
        <v>17</v>
      </c>
      <c r="C22" s="15" t="s">
        <v>49</v>
      </c>
      <c r="D22" s="16" t="s">
        <v>3</v>
      </c>
      <c r="E22" s="15" t="s">
        <v>381</v>
      </c>
      <c r="F22" s="15" t="s">
        <v>52</v>
      </c>
      <c r="G22" s="6">
        <v>96</v>
      </c>
      <c r="H22" s="6">
        <v>96</v>
      </c>
      <c r="I22" s="6">
        <v>92</v>
      </c>
      <c r="M22" s="6">
        <f t="shared" si="0"/>
        <v>284</v>
      </c>
      <c r="N22" s="15">
        <f t="shared" si="4"/>
        <v>284</v>
      </c>
    </row>
    <row r="23" spans="1:14">
      <c r="A23" s="15" t="s">
        <v>158</v>
      </c>
      <c r="B23" s="16" t="s">
        <v>17</v>
      </c>
      <c r="C23" s="15" t="s">
        <v>49</v>
      </c>
      <c r="D23" s="16" t="s">
        <v>3</v>
      </c>
      <c r="E23" s="15" t="s">
        <v>381</v>
      </c>
      <c r="F23" s="15" t="s">
        <v>52</v>
      </c>
      <c r="G23" s="6">
        <v>93</v>
      </c>
      <c r="H23" s="6">
        <v>96</v>
      </c>
      <c r="I23" s="6">
        <v>79</v>
      </c>
      <c r="M23" s="6">
        <f t="shared" si="0"/>
        <v>268</v>
      </c>
      <c r="N23" s="15">
        <f t="shared" si="4"/>
        <v>268</v>
      </c>
    </row>
    <row r="24" spans="1:14">
      <c r="A24" s="15" t="s">
        <v>244</v>
      </c>
      <c r="B24" s="15" t="s">
        <v>17</v>
      </c>
      <c r="C24" s="15" t="s">
        <v>382</v>
      </c>
      <c r="D24" s="16" t="s">
        <v>3</v>
      </c>
      <c r="E24" s="15" t="s">
        <v>381</v>
      </c>
      <c r="F24" s="15" t="s">
        <v>52</v>
      </c>
      <c r="G24" s="6">
        <v>91</v>
      </c>
      <c r="H24" s="6">
        <v>73</v>
      </c>
      <c r="I24" s="6">
        <v>50</v>
      </c>
      <c r="M24" s="6">
        <f t="shared" si="0"/>
        <v>214</v>
      </c>
      <c r="N24" s="15">
        <f t="shared" si="4"/>
        <v>214</v>
      </c>
    </row>
    <row r="25" spans="1:14">
      <c r="A25" s="15" t="s">
        <v>157</v>
      </c>
      <c r="B25" s="15" t="s">
        <v>17</v>
      </c>
      <c r="C25" s="15" t="s">
        <v>49</v>
      </c>
      <c r="D25" s="16" t="s">
        <v>3</v>
      </c>
      <c r="E25" s="15" t="s">
        <v>381</v>
      </c>
      <c r="F25" s="15" t="s">
        <v>52</v>
      </c>
      <c r="G25" s="6">
        <v>97</v>
      </c>
      <c r="H25" s="6">
        <v>87</v>
      </c>
      <c r="I25" s="6">
        <v>86</v>
      </c>
      <c r="M25" s="6">
        <f t="shared" si="0"/>
        <v>270</v>
      </c>
      <c r="N25" s="15">
        <f t="shared" si="4"/>
        <v>270</v>
      </c>
    </row>
    <row r="26" spans="1:14">
      <c r="A26" s="15" t="s">
        <v>108</v>
      </c>
      <c r="B26" s="15" t="s">
        <v>26</v>
      </c>
      <c r="C26" s="15" t="s">
        <v>49</v>
      </c>
      <c r="D26" s="16" t="s">
        <v>3</v>
      </c>
      <c r="E26" s="15" t="s">
        <v>381</v>
      </c>
      <c r="F26" s="15" t="s">
        <v>52</v>
      </c>
      <c r="G26" s="6">
        <v>90</v>
      </c>
      <c r="H26" s="6">
        <v>90</v>
      </c>
      <c r="I26" s="6">
        <v>79</v>
      </c>
      <c r="M26" s="6">
        <f t="shared" si="0"/>
        <v>259</v>
      </c>
      <c r="N26" s="15">
        <f t="shared" si="4"/>
        <v>259</v>
      </c>
    </row>
    <row r="27" spans="1:14">
      <c r="A27" s="15" t="s">
        <v>88</v>
      </c>
      <c r="B27" s="15" t="s">
        <v>26</v>
      </c>
      <c r="C27" s="15" t="s">
        <v>49</v>
      </c>
      <c r="D27" s="16" t="s">
        <v>3</v>
      </c>
      <c r="E27" s="15" t="s">
        <v>381</v>
      </c>
      <c r="F27" s="15" t="s">
        <v>52</v>
      </c>
      <c r="G27" s="6">
        <v>89</v>
      </c>
      <c r="H27" s="6">
        <v>87</v>
      </c>
      <c r="I27" s="6">
        <v>86</v>
      </c>
      <c r="M27" s="6">
        <f t="shared" si="0"/>
        <v>262</v>
      </c>
      <c r="N27" s="15">
        <f t="shared" si="4"/>
        <v>262</v>
      </c>
    </row>
    <row r="28" spans="1:14">
      <c r="A28" s="15" t="s">
        <v>139</v>
      </c>
      <c r="B28" s="15" t="s">
        <v>26</v>
      </c>
      <c r="C28" s="15" t="s">
        <v>49</v>
      </c>
      <c r="D28" s="16" t="s">
        <v>3</v>
      </c>
      <c r="E28" s="15" t="s">
        <v>381</v>
      </c>
      <c r="F28" s="15" t="s">
        <v>52</v>
      </c>
      <c r="G28" s="6">
        <v>67</v>
      </c>
      <c r="H28" s="6">
        <v>67</v>
      </c>
      <c r="I28" s="6">
        <v>59</v>
      </c>
      <c r="M28" s="6">
        <f t="shared" si="0"/>
        <v>193</v>
      </c>
      <c r="N28" s="15">
        <f t="shared" si="4"/>
        <v>193</v>
      </c>
    </row>
    <row r="29" spans="1:14">
      <c r="A29" s="15" t="s">
        <v>277</v>
      </c>
      <c r="B29" s="15" t="s">
        <v>26</v>
      </c>
      <c r="C29" s="15" t="s">
        <v>382</v>
      </c>
      <c r="D29" s="16" t="s">
        <v>3</v>
      </c>
      <c r="E29" s="15" t="s">
        <v>381</v>
      </c>
      <c r="F29" s="15" t="s">
        <v>52</v>
      </c>
      <c r="G29" s="6">
        <v>77</v>
      </c>
      <c r="H29" s="6">
        <v>13</v>
      </c>
      <c r="I29" s="6">
        <v>30</v>
      </c>
      <c r="M29" s="6">
        <f t="shared" si="0"/>
        <v>120</v>
      </c>
      <c r="N29" s="15">
        <f t="shared" si="4"/>
        <v>120</v>
      </c>
    </row>
    <row r="30" spans="1:14">
      <c r="A30" s="15" t="s">
        <v>107</v>
      </c>
      <c r="B30" s="16" t="s">
        <v>15</v>
      </c>
      <c r="C30" s="15" t="s">
        <v>49</v>
      </c>
      <c r="D30" s="16" t="s">
        <v>3</v>
      </c>
      <c r="E30" s="15" t="s">
        <v>381</v>
      </c>
      <c r="F30" s="15" t="s">
        <v>52</v>
      </c>
      <c r="G30" s="6">
        <v>95</v>
      </c>
      <c r="H30" s="6">
        <v>89</v>
      </c>
      <c r="I30" s="6">
        <v>90</v>
      </c>
      <c r="M30" s="6">
        <f t="shared" si="0"/>
        <v>274</v>
      </c>
      <c r="N30" s="15">
        <f t="shared" si="4"/>
        <v>274</v>
      </c>
    </row>
    <row r="31" spans="1:14">
      <c r="A31" s="15" t="s">
        <v>71</v>
      </c>
      <c r="B31" s="16" t="s">
        <v>15</v>
      </c>
      <c r="C31" s="15" t="s">
        <v>49</v>
      </c>
      <c r="D31" s="16" t="s">
        <v>3</v>
      </c>
      <c r="E31" s="15" t="s">
        <v>381</v>
      </c>
      <c r="F31" s="15" t="s">
        <v>52</v>
      </c>
      <c r="G31" s="6">
        <v>97</v>
      </c>
      <c r="H31" s="6">
        <v>90</v>
      </c>
      <c r="I31" s="6">
        <v>92</v>
      </c>
      <c r="M31" s="6">
        <f t="shared" si="0"/>
        <v>279</v>
      </c>
      <c r="N31" s="15">
        <f t="shared" si="4"/>
        <v>279</v>
      </c>
    </row>
    <row r="32" spans="1:14">
      <c r="A32" s="15" t="s">
        <v>209</v>
      </c>
      <c r="B32" s="16" t="s">
        <v>15</v>
      </c>
      <c r="C32" s="15" t="s">
        <v>382</v>
      </c>
      <c r="D32" s="16" t="s">
        <v>3</v>
      </c>
      <c r="E32" s="15" t="s">
        <v>381</v>
      </c>
      <c r="F32" s="15" t="s">
        <v>52</v>
      </c>
      <c r="G32" s="6">
        <v>89</v>
      </c>
      <c r="H32" s="6">
        <v>93</v>
      </c>
      <c r="I32" s="6">
        <v>92</v>
      </c>
      <c r="M32" s="6">
        <f t="shared" si="0"/>
        <v>274</v>
      </c>
      <c r="N32" s="15">
        <f t="shared" si="4"/>
        <v>274</v>
      </c>
    </row>
    <row r="33" spans="1:14">
      <c r="A33" s="15" t="s">
        <v>78</v>
      </c>
      <c r="B33" s="15" t="s">
        <v>15</v>
      </c>
      <c r="C33" s="15" t="s">
        <v>49</v>
      </c>
      <c r="D33" s="16" t="s">
        <v>3</v>
      </c>
      <c r="E33" s="15" t="s">
        <v>381</v>
      </c>
      <c r="F33" s="15" t="s">
        <v>52</v>
      </c>
      <c r="G33" s="6">
        <v>98</v>
      </c>
      <c r="H33" s="6">
        <v>91</v>
      </c>
      <c r="I33" s="6">
        <v>92</v>
      </c>
      <c r="M33" s="6">
        <f t="shared" si="0"/>
        <v>281</v>
      </c>
      <c r="N33" s="15">
        <f t="shared" si="4"/>
        <v>281</v>
      </c>
    </row>
    <row r="34" spans="1:14">
      <c r="A34" s="15" t="s">
        <v>258</v>
      </c>
      <c r="B34" s="15" t="s">
        <v>15</v>
      </c>
      <c r="C34" s="15" t="s">
        <v>382</v>
      </c>
      <c r="D34" s="16" t="s">
        <v>3</v>
      </c>
      <c r="E34" s="15" t="s">
        <v>51</v>
      </c>
      <c r="F34" s="15" t="s">
        <v>52</v>
      </c>
      <c r="G34" s="6">
        <v>92</v>
      </c>
      <c r="H34" s="6">
        <v>92</v>
      </c>
      <c r="I34" s="6">
        <v>92</v>
      </c>
      <c r="M34" s="6">
        <f t="shared" si="0"/>
        <v>276</v>
      </c>
      <c r="N34" s="15"/>
    </row>
    <row r="35" spans="1:14">
      <c r="A35" s="15" t="s">
        <v>226</v>
      </c>
      <c r="B35" s="15" t="s">
        <v>15</v>
      </c>
      <c r="C35" s="15" t="s">
        <v>382</v>
      </c>
      <c r="D35" s="16" t="s">
        <v>3</v>
      </c>
      <c r="E35" s="15" t="s">
        <v>51</v>
      </c>
      <c r="F35" s="15" t="s">
        <v>52</v>
      </c>
      <c r="G35" s="6">
        <v>88</v>
      </c>
      <c r="H35" s="6">
        <v>89</v>
      </c>
      <c r="I35" s="6">
        <v>80</v>
      </c>
      <c r="M35" s="6">
        <f t="shared" si="0"/>
        <v>257</v>
      </c>
      <c r="N35" s="15"/>
    </row>
    <row r="36" spans="1:14">
      <c r="A36" s="15" t="s">
        <v>236</v>
      </c>
      <c r="B36" s="15" t="s">
        <v>15</v>
      </c>
      <c r="C36" s="15" t="s">
        <v>382</v>
      </c>
      <c r="D36" s="16" t="s">
        <v>3</v>
      </c>
      <c r="E36" s="15" t="s">
        <v>51</v>
      </c>
      <c r="F36" s="15" t="s">
        <v>52</v>
      </c>
      <c r="G36" s="6">
        <v>86</v>
      </c>
      <c r="H36" s="6">
        <v>85</v>
      </c>
      <c r="I36" s="6">
        <v>81</v>
      </c>
      <c r="M36" s="6">
        <f t="shared" si="0"/>
        <v>252</v>
      </c>
      <c r="N36" s="15"/>
    </row>
    <row r="37" spans="1:14">
      <c r="A37" s="15" t="s">
        <v>240</v>
      </c>
      <c r="B37" s="15" t="s">
        <v>28</v>
      </c>
      <c r="C37" s="15" t="s">
        <v>382</v>
      </c>
      <c r="D37" s="16" t="s">
        <v>3</v>
      </c>
      <c r="E37" s="15" t="s">
        <v>381</v>
      </c>
      <c r="F37" s="15" t="s">
        <v>52</v>
      </c>
      <c r="G37" s="6">
        <v>95</v>
      </c>
      <c r="H37" s="6">
        <v>90</v>
      </c>
      <c r="I37" s="6">
        <v>83</v>
      </c>
      <c r="M37" s="6">
        <f t="shared" si="0"/>
        <v>268</v>
      </c>
      <c r="N37" s="15">
        <f t="shared" ref="N37:N38" si="5">M37</f>
        <v>268</v>
      </c>
    </row>
    <row r="38" spans="1:14">
      <c r="A38" s="15" t="s">
        <v>234</v>
      </c>
      <c r="B38" s="15" t="s">
        <v>21</v>
      </c>
      <c r="C38" s="15" t="s">
        <v>382</v>
      </c>
      <c r="D38" s="16" t="s">
        <v>3</v>
      </c>
      <c r="E38" s="15" t="s">
        <v>381</v>
      </c>
      <c r="F38" s="15" t="s">
        <v>52</v>
      </c>
      <c r="G38" s="6">
        <v>91</v>
      </c>
      <c r="H38" s="6">
        <v>77</v>
      </c>
      <c r="I38" s="6">
        <v>90</v>
      </c>
      <c r="M38" s="6">
        <f t="shared" si="0"/>
        <v>258</v>
      </c>
      <c r="N38" s="15">
        <f t="shared" si="5"/>
        <v>258</v>
      </c>
    </row>
    <row r="39" spans="1:14">
      <c r="A39" s="15" t="s">
        <v>159</v>
      </c>
      <c r="B39" s="16" t="s">
        <v>15</v>
      </c>
      <c r="C39" s="15" t="s">
        <v>49</v>
      </c>
      <c r="D39" s="15" t="s">
        <v>3</v>
      </c>
      <c r="E39" s="15" t="s">
        <v>51</v>
      </c>
      <c r="F39" s="15" t="s">
        <v>52</v>
      </c>
      <c r="G39" s="6">
        <v>93</v>
      </c>
      <c r="H39" s="6">
        <v>89</v>
      </c>
      <c r="I39" s="6">
        <v>86</v>
      </c>
      <c r="M39" s="6">
        <f t="shared" si="0"/>
        <v>268</v>
      </c>
      <c r="N39" s="15"/>
    </row>
    <row r="40" spans="1:14">
      <c r="A40" s="15" t="s">
        <v>112</v>
      </c>
      <c r="B40" s="16" t="s">
        <v>24</v>
      </c>
      <c r="C40" s="15" t="s">
        <v>49</v>
      </c>
      <c r="D40" s="16" t="s">
        <v>3</v>
      </c>
      <c r="E40" s="15" t="s">
        <v>381</v>
      </c>
      <c r="F40" s="15" t="s">
        <v>383</v>
      </c>
      <c r="G40" s="6">
        <v>92</v>
      </c>
      <c r="H40" s="6">
        <v>89</v>
      </c>
      <c r="I40" s="6">
        <v>91</v>
      </c>
      <c r="M40" s="6">
        <f t="shared" si="0"/>
        <v>272</v>
      </c>
      <c r="N40" s="15">
        <f t="shared" ref="N40:N46" si="6">M40</f>
        <v>272</v>
      </c>
    </row>
    <row r="41" spans="1:14">
      <c r="A41" s="15" t="s">
        <v>243</v>
      </c>
      <c r="B41" s="16" t="s">
        <v>24</v>
      </c>
      <c r="C41" s="15" t="s">
        <v>382</v>
      </c>
      <c r="D41" s="16" t="s">
        <v>3</v>
      </c>
      <c r="E41" s="15" t="s">
        <v>381</v>
      </c>
      <c r="F41" s="15" t="s">
        <v>383</v>
      </c>
      <c r="G41" s="6">
        <v>76</v>
      </c>
      <c r="H41" s="6">
        <v>71</v>
      </c>
      <c r="I41" s="6">
        <v>60</v>
      </c>
      <c r="M41" s="6">
        <f t="shared" si="0"/>
        <v>207</v>
      </c>
      <c r="N41" s="15">
        <f t="shared" si="6"/>
        <v>207</v>
      </c>
    </row>
    <row r="42" spans="1:14">
      <c r="A42" s="15" t="s">
        <v>168</v>
      </c>
      <c r="B42" s="16" t="s">
        <v>24</v>
      </c>
      <c r="C42" s="15" t="s">
        <v>49</v>
      </c>
      <c r="D42" s="16" t="s">
        <v>3</v>
      </c>
      <c r="E42" s="15" t="s">
        <v>381</v>
      </c>
      <c r="F42" s="15" t="s">
        <v>383</v>
      </c>
      <c r="G42" s="6">
        <v>87</v>
      </c>
      <c r="H42" s="6">
        <v>83</v>
      </c>
      <c r="I42" s="6">
        <v>84</v>
      </c>
      <c r="M42" s="6">
        <f t="shared" si="0"/>
        <v>254</v>
      </c>
      <c r="N42" s="15">
        <f t="shared" si="6"/>
        <v>254</v>
      </c>
    </row>
    <row r="43" spans="1:14">
      <c r="A43" s="15" t="s">
        <v>173</v>
      </c>
      <c r="B43" s="16" t="s">
        <v>24</v>
      </c>
      <c r="C43" s="15" t="s">
        <v>49</v>
      </c>
      <c r="D43" s="16" t="s">
        <v>3</v>
      </c>
      <c r="E43" s="15" t="s">
        <v>381</v>
      </c>
      <c r="F43" s="15" t="s">
        <v>383</v>
      </c>
      <c r="G43" s="6">
        <v>95</v>
      </c>
      <c r="H43" s="6">
        <v>84</v>
      </c>
      <c r="I43" s="6">
        <v>70</v>
      </c>
      <c r="M43" s="6">
        <f t="shared" si="0"/>
        <v>249</v>
      </c>
      <c r="N43" s="15">
        <f t="shared" si="6"/>
        <v>249</v>
      </c>
    </row>
    <row r="44" spans="1:14">
      <c r="A44" s="15" t="s">
        <v>188</v>
      </c>
      <c r="B44" s="16" t="s">
        <v>18</v>
      </c>
      <c r="C44" s="15" t="s">
        <v>49</v>
      </c>
      <c r="D44" s="16" t="s">
        <v>3</v>
      </c>
      <c r="E44" s="15" t="s">
        <v>381</v>
      </c>
      <c r="F44" s="15" t="s">
        <v>383</v>
      </c>
      <c r="G44" s="6">
        <v>90</v>
      </c>
      <c r="H44" s="6">
        <v>76</v>
      </c>
      <c r="I44" s="6">
        <v>44</v>
      </c>
      <c r="M44" s="6">
        <f t="shared" si="0"/>
        <v>210</v>
      </c>
      <c r="N44" s="15">
        <f t="shared" si="6"/>
        <v>210</v>
      </c>
    </row>
    <row r="45" spans="1:14">
      <c r="A45" s="15" t="s">
        <v>263</v>
      </c>
      <c r="B45" s="16" t="s">
        <v>18</v>
      </c>
      <c r="C45" s="15" t="s">
        <v>382</v>
      </c>
      <c r="D45" s="16" t="s">
        <v>3</v>
      </c>
      <c r="E45" s="15" t="s">
        <v>381</v>
      </c>
      <c r="F45" s="15" t="s">
        <v>383</v>
      </c>
      <c r="G45" s="6">
        <v>97</v>
      </c>
      <c r="H45" s="6">
        <v>88</v>
      </c>
      <c r="I45" s="6">
        <v>70</v>
      </c>
      <c r="M45" s="6">
        <f t="shared" si="0"/>
        <v>255</v>
      </c>
      <c r="N45" s="15">
        <f t="shared" si="6"/>
        <v>255</v>
      </c>
    </row>
    <row r="46" spans="1:14">
      <c r="A46" s="15" t="s">
        <v>130</v>
      </c>
      <c r="B46" s="16" t="s">
        <v>18</v>
      </c>
      <c r="C46" s="15" t="s">
        <v>49</v>
      </c>
      <c r="D46" s="16" t="s">
        <v>3</v>
      </c>
      <c r="E46" s="15" t="s">
        <v>381</v>
      </c>
      <c r="F46" s="15" t="s">
        <v>383</v>
      </c>
      <c r="G46" s="6">
        <v>91</v>
      </c>
      <c r="H46" s="6">
        <v>85</v>
      </c>
      <c r="I46" s="6">
        <v>72</v>
      </c>
      <c r="M46" s="6">
        <f t="shared" si="0"/>
        <v>248</v>
      </c>
      <c r="N46" s="15">
        <f t="shared" si="6"/>
        <v>248</v>
      </c>
    </row>
    <row r="47" spans="1:14">
      <c r="A47" s="15" t="s">
        <v>61</v>
      </c>
      <c r="B47" s="16" t="s">
        <v>18</v>
      </c>
      <c r="C47" s="15" t="s">
        <v>49</v>
      </c>
      <c r="D47" s="16" t="s">
        <v>3</v>
      </c>
      <c r="E47" s="15" t="s">
        <v>51</v>
      </c>
      <c r="F47" s="15" t="s">
        <v>383</v>
      </c>
      <c r="G47" s="6">
        <v>98</v>
      </c>
      <c r="H47" s="6">
        <v>92</v>
      </c>
      <c r="I47" s="6">
        <v>92</v>
      </c>
      <c r="M47" s="6">
        <f t="shared" si="0"/>
        <v>282</v>
      </c>
      <c r="N47" s="15"/>
    </row>
    <row r="48" spans="1:14">
      <c r="A48" s="15" t="s">
        <v>125</v>
      </c>
      <c r="B48" s="16" t="s">
        <v>18</v>
      </c>
      <c r="C48" s="15" t="s">
        <v>49</v>
      </c>
      <c r="D48" s="16" t="s">
        <v>3</v>
      </c>
      <c r="E48" s="15" t="s">
        <v>381</v>
      </c>
      <c r="F48" s="15" t="s">
        <v>383</v>
      </c>
      <c r="G48" s="6">
        <v>92</v>
      </c>
      <c r="H48" s="6">
        <v>88</v>
      </c>
      <c r="I48" s="6">
        <v>72</v>
      </c>
      <c r="M48" s="6">
        <f t="shared" si="0"/>
        <v>252</v>
      </c>
      <c r="N48" s="15">
        <f t="shared" ref="N48:N56" si="7">M48</f>
        <v>252</v>
      </c>
    </row>
    <row r="49" spans="1:14">
      <c r="A49" s="15" t="s">
        <v>181</v>
      </c>
      <c r="B49" s="16" t="s">
        <v>23</v>
      </c>
      <c r="C49" s="15" t="s">
        <v>49</v>
      </c>
      <c r="D49" s="16" t="s">
        <v>3</v>
      </c>
      <c r="E49" s="15" t="s">
        <v>381</v>
      </c>
      <c r="F49" s="15" t="s">
        <v>383</v>
      </c>
      <c r="G49" s="6">
        <v>85</v>
      </c>
      <c r="H49" s="6">
        <v>86</v>
      </c>
      <c r="I49" s="6">
        <v>66</v>
      </c>
      <c r="M49" s="6">
        <f t="shared" si="0"/>
        <v>237</v>
      </c>
      <c r="N49" s="15">
        <f t="shared" si="7"/>
        <v>237</v>
      </c>
    </row>
    <row r="50" spans="1:14">
      <c r="A50" s="15" t="s">
        <v>235</v>
      </c>
      <c r="B50" s="16" t="s">
        <v>23</v>
      </c>
      <c r="C50" s="15" t="s">
        <v>382</v>
      </c>
      <c r="D50" s="16" t="s">
        <v>3</v>
      </c>
      <c r="E50" s="15" t="s">
        <v>381</v>
      </c>
      <c r="F50" s="15" t="s">
        <v>383</v>
      </c>
      <c r="G50" s="6">
        <v>89</v>
      </c>
      <c r="H50" s="6">
        <v>60</v>
      </c>
      <c r="I50" s="6">
        <v>66</v>
      </c>
      <c r="M50" s="6">
        <f t="shared" si="0"/>
        <v>215</v>
      </c>
      <c r="N50" s="15">
        <f t="shared" si="7"/>
        <v>215</v>
      </c>
    </row>
    <row r="51" spans="1:14">
      <c r="A51" s="15" t="s">
        <v>122</v>
      </c>
      <c r="B51" s="16" t="s">
        <v>23</v>
      </c>
      <c r="C51" s="15" t="s">
        <v>49</v>
      </c>
      <c r="D51" s="16" t="s">
        <v>3</v>
      </c>
      <c r="E51" s="15" t="s">
        <v>381</v>
      </c>
      <c r="F51" s="15" t="s">
        <v>383</v>
      </c>
      <c r="G51" s="6">
        <v>94</v>
      </c>
      <c r="H51" s="6">
        <v>92</v>
      </c>
      <c r="I51" s="6">
        <v>74</v>
      </c>
      <c r="M51" s="6">
        <f t="shared" si="0"/>
        <v>260</v>
      </c>
      <c r="N51" s="15">
        <f t="shared" si="7"/>
        <v>260</v>
      </c>
    </row>
    <row r="52" spans="1:14">
      <c r="A52" s="15" t="s">
        <v>134</v>
      </c>
      <c r="B52" s="16" t="s">
        <v>23</v>
      </c>
      <c r="C52" s="15" t="s">
        <v>49</v>
      </c>
      <c r="D52" s="16" t="s">
        <v>3</v>
      </c>
      <c r="E52" s="15" t="s">
        <v>381</v>
      </c>
      <c r="F52" s="15" t="s">
        <v>383</v>
      </c>
      <c r="G52" s="6">
        <v>88</v>
      </c>
      <c r="H52" s="6">
        <v>91</v>
      </c>
      <c r="I52" s="6">
        <v>87</v>
      </c>
      <c r="M52" s="6">
        <f t="shared" si="0"/>
        <v>266</v>
      </c>
      <c r="N52" s="15">
        <f t="shared" si="7"/>
        <v>266</v>
      </c>
    </row>
    <row r="53" spans="1:14">
      <c r="A53" s="15" t="s">
        <v>210</v>
      </c>
      <c r="B53" s="16" t="s">
        <v>20</v>
      </c>
      <c r="C53" s="15" t="s">
        <v>382</v>
      </c>
      <c r="D53" s="16" t="s">
        <v>3</v>
      </c>
      <c r="E53" s="15" t="s">
        <v>381</v>
      </c>
      <c r="F53" s="15" t="s">
        <v>383</v>
      </c>
      <c r="G53" s="6">
        <v>87</v>
      </c>
      <c r="H53" s="6">
        <v>88</v>
      </c>
      <c r="I53" s="6">
        <v>87</v>
      </c>
      <c r="M53" s="6">
        <f t="shared" si="0"/>
        <v>262</v>
      </c>
      <c r="N53" s="15">
        <f t="shared" si="7"/>
        <v>262</v>
      </c>
    </row>
    <row r="54" spans="1:14">
      <c r="A54" s="15" t="s">
        <v>174</v>
      </c>
      <c r="B54" s="16" t="s">
        <v>20</v>
      </c>
      <c r="C54" s="15" t="s">
        <v>49</v>
      </c>
      <c r="D54" s="16" t="s">
        <v>3</v>
      </c>
      <c r="E54" s="15" t="s">
        <v>381</v>
      </c>
      <c r="F54" s="15" t="s">
        <v>383</v>
      </c>
      <c r="G54" s="6">
        <v>84</v>
      </c>
      <c r="H54" s="6">
        <v>83</v>
      </c>
      <c r="I54" s="6">
        <v>82</v>
      </c>
      <c r="M54" s="6">
        <f t="shared" si="0"/>
        <v>249</v>
      </c>
      <c r="N54" s="15">
        <f t="shared" si="7"/>
        <v>249</v>
      </c>
    </row>
    <row r="55" spans="1:14">
      <c r="A55" s="15" t="s">
        <v>131</v>
      </c>
      <c r="B55" s="16" t="s">
        <v>20</v>
      </c>
      <c r="C55" s="15" t="s">
        <v>49</v>
      </c>
      <c r="D55" s="16" t="s">
        <v>3</v>
      </c>
      <c r="E55" s="15" t="s">
        <v>381</v>
      </c>
      <c r="F55" s="15" t="s">
        <v>383</v>
      </c>
      <c r="G55" s="6">
        <v>90</v>
      </c>
      <c r="H55" s="6">
        <v>81</v>
      </c>
      <c r="I55" s="6">
        <v>64</v>
      </c>
      <c r="M55" s="6">
        <f t="shared" si="0"/>
        <v>235</v>
      </c>
      <c r="N55" s="15">
        <f t="shared" si="7"/>
        <v>235</v>
      </c>
    </row>
    <row r="56" spans="1:14">
      <c r="A56" s="15" t="s">
        <v>100</v>
      </c>
      <c r="B56" s="16" t="s">
        <v>20</v>
      </c>
      <c r="C56" s="15" t="s">
        <v>49</v>
      </c>
      <c r="D56" s="16" t="s">
        <v>3</v>
      </c>
      <c r="E56" s="15" t="s">
        <v>381</v>
      </c>
      <c r="F56" s="15" t="s">
        <v>383</v>
      </c>
      <c r="G56" s="6">
        <v>93</v>
      </c>
      <c r="H56" s="6">
        <v>92</v>
      </c>
      <c r="I56" s="6">
        <v>88</v>
      </c>
      <c r="M56" s="6">
        <f t="shared" si="0"/>
        <v>273</v>
      </c>
      <c r="N56" s="15">
        <f t="shared" si="7"/>
        <v>273</v>
      </c>
    </row>
    <row r="57" spans="1:14">
      <c r="A57" s="15" t="s">
        <v>55</v>
      </c>
      <c r="B57" s="16" t="s">
        <v>19</v>
      </c>
      <c r="C57" s="15" t="s">
        <v>49</v>
      </c>
      <c r="D57" s="16" t="s">
        <v>3</v>
      </c>
      <c r="E57" s="15" t="s">
        <v>51</v>
      </c>
      <c r="F57" s="15" t="s">
        <v>383</v>
      </c>
      <c r="G57" s="6">
        <v>94</v>
      </c>
      <c r="H57" s="6">
        <v>91</v>
      </c>
      <c r="I57" s="6">
        <v>86</v>
      </c>
      <c r="M57" s="6">
        <f t="shared" si="0"/>
        <v>271</v>
      </c>
      <c r="N57" s="15"/>
    </row>
    <row r="58" spans="1:14">
      <c r="A58" s="15" t="s">
        <v>119</v>
      </c>
      <c r="B58" s="16" t="s">
        <v>19</v>
      </c>
      <c r="C58" s="15" t="s">
        <v>49</v>
      </c>
      <c r="D58" s="16" t="s">
        <v>3</v>
      </c>
      <c r="E58" s="15" t="s">
        <v>381</v>
      </c>
      <c r="F58" s="15" t="s">
        <v>383</v>
      </c>
      <c r="G58" s="6">
        <v>94</v>
      </c>
      <c r="H58" s="6">
        <v>92</v>
      </c>
      <c r="I58" s="6">
        <v>83</v>
      </c>
      <c r="M58" s="6">
        <f t="shared" si="0"/>
        <v>269</v>
      </c>
      <c r="N58" s="15">
        <f t="shared" ref="N58:N64" si="8">M58</f>
        <v>269</v>
      </c>
    </row>
    <row r="59" spans="1:14">
      <c r="A59" s="15" t="s">
        <v>271</v>
      </c>
      <c r="B59" s="16" t="s">
        <v>19</v>
      </c>
      <c r="C59" s="15" t="s">
        <v>382</v>
      </c>
      <c r="D59" s="16" t="s">
        <v>3</v>
      </c>
      <c r="E59" s="15" t="s">
        <v>381</v>
      </c>
      <c r="F59" s="15" t="s">
        <v>383</v>
      </c>
      <c r="G59" s="6">
        <v>80</v>
      </c>
      <c r="H59" s="6">
        <v>64</v>
      </c>
      <c r="I59" s="6">
        <v>69</v>
      </c>
      <c r="M59" s="6">
        <f t="shared" si="0"/>
        <v>213</v>
      </c>
      <c r="N59" s="15">
        <f t="shared" si="8"/>
        <v>213</v>
      </c>
    </row>
    <row r="60" spans="1:14">
      <c r="A60" s="15" t="s">
        <v>117</v>
      </c>
      <c r="B60" s="16" t="s">
        <v>19</v>
      </c>
      <c r="C60" s="15" t="s">
        <v>49</v>
      </c>
      <c r="D60" s="16" t="s">
        <v>3</v>
      </c>
      <c r="E60" s="15" t="s">
        <v>381</v>
      </c>
      <c r="F60" s="15" t="s">
        <v>383</v>
      </c>
      <c r="G60" s="6">
        <v>87</v>
      </c>
      <c r="H60" s="6">
        <v>88</v>
      </c>
      <c r="I60" s="6">
        <v>66</v>
      </c>
      <c r="M60" s="6">
        <f t="shared" si="0"/>
        <v>241</v>
      </c>
      <c r="N60" s="15">
        <f t="shared" si="8"/>
        <v>241</v>
      </c>
    </row>
    <row r="61" spans="1:14">
      <c r="A61" s="15" t="s">
        <v>182</v>
      </c>
      <c r="B61" s="16" t="s">
        <v>19</v>
      </c>
      <c r="C61" s="15" t="s">
        <v>49</v>
      </c>
      <c r="D61" s="16" t="s">
        <v>3</v>
      </c>
      <c r="E61" s="15" t="s">
        <v>381</v>
      </c>
      <c r="F61" s="15" t="s">
        <v>383</v>
      </c>
      <c r="G61" s="6">
        <v>63</v>
      </c>
      <c r="H61" s="6">
        <v>39</v>
      </c>
      <c r="I61" s="6">
        <v>35</v>
      </c>
      <c r="M61" s="6">
        <f t="shared" si="0"/>
        <v>137</v>
      </c>
      <c r="N61" s="15">
        <f t="shared" si="8"/>
        <v>137</v>
      </c>
    </row>
    <row r="62" spans="1:14">
      <c r="A62" s="15" t="s">
        <v>214</v>
      </c>
      <c r="B62" s="16" t="s">
        <v>14</v>
      </c>
      <c r="C62" s="15" t="s">
        <v>382</v>
      </c>
      <c r="D62" s="16" t="s">
        <v>3</v>
      </c>
      <c r="E62" s="15" t="s">
        <v>381</v>
      </c>
      <c r="F62" s="15" t="s">
        <v>383</v>
      </c>
      <c r="G62" s="6">
        <v>95</v>
      </c>
      <c r="H62" s="6">
        <v>93</v>
      </c>
      <c r="I62" s="6">
        <v>75</v>
      </c>
      <c r="M62" s="6">
        <f t="shared" si="0"/>
        <v>263</v>
      </c>
      <c r="N62" s="15">
        <f t="shared" si="8"/>
        <v>263</v>
      </c>
    </row>
    <row r="63" spans="1:14">
      <c r="A63" s="15" t="s">
        <v>85</v>
      </c>
      <c r="B63" s="16" t="s">
        <v>14</v>
      </c>
      <c r="C63" s="15" t="s">
        <v>49</v>
      </c>
      <c r="D63" s="16" t="s">
        <v>3</v>
      </c>
      <c r="E63" s="15" t="s">
        <v>381</v>
      </c>
      <c r="F63" s="15" t="s">
        <v>383</v>
      </c>
      <c r="G63" s="6">
        <v>91</v>
      </c>
      <c r="H63" s="6">
        <v>89</v>
      </c>
      <c r="I63" s="6">
        <v>79</v>
      </c>
      <c r="M63" s="6">
        <f t="shared" si="0"/>
        <v>259</v>
      </c>
      <c r="N63" s="15">
        <f t="shared" si="8"/>
        <v>259</v>
      </c>
    </row>
    <row r="64" spans="1:14">
      <c r="A64" s="15" t="s">
        <v>84</v>
      </c>
      <c r="B64" s="16" t="s">
        <v>14</v>
      </c>
      <c r="C64" s="15" t="s">
        <v>49</v>
      </c>
      <c r="D64" s="16" t="s">
        <v>3</v>
      </c>
      <c r="E64" s="15" t="s">
        <v>381</v>
      </c>
      <c r="F64" s="15" t="s">
        <v>383</v>
      </c>
      <c r="G64" s="6">
        <v>91</v>
      </c>
      <c r="H64" s="6">
        <v>92</v>
      </c>
      <c r="I64" s="6">
        <v>82</v>
      </c>
      <c r="M64" s="6">
        <f t="shared" si="0"/>
        <v>265</v>
      </c>
      <c r="N64" s="15">
        <f t="shared" si="8"/>
        <v>265</v>
      </c>
    </row>
    <row r="65" spans="1:14">
      <c r="A65" s="15" t="s">
        <v>92</v>
      </c>
      <c r="B65" s="16" t="s">
        <v>14</v>
      </c>
      <c r="C65" s="15" t="s">
        <v>49</v>
      </c>
      <c r="D65" s="16" t="s">
        <v>3</v>
      </c>
      <c r="E65" s="15" t="s">
        <v>51</v>
      </c>
      <c r="F65" s="15" t="s">
        <v>383</v>
      </c>
      <c r="G65" s="6">
        <v>90</v>
      </c>
      <c r="H65" s="6">
        <v>72</v>
      </c>
      <c r="I65" s="6">
        <v>66</v>
      </c>
      <c r="M65" s="6">
        <f t="shared" si="0"/>
        <v>228</v>
      </c>
      <c r="N65" s="15"/>
    </row>
    <row r="66" spans="1:14">
      <c r="A66" s="15" t="s">
        <v>57</v>
      </c>
      <c r="B66" s="16" t="s">
        <v>14</v>
      </c>
      <c r="C66" s="15" t="s">
        <v>49</v>
      </c>
      <c r="D66" s="16" t="s">
        <v>3</v>
      </c>
      <c r="E66" s="15" t="s">
        <v>381</v>
      </c>
      <c r="F66" s="15" t="s">
        <v>383</v>
      </c>
      <c r="G66" s="6">
        <v>91</v>
      </c>
      <c r="H66" s="6">
        <v>92</v>
      </c>
      <c r="I66" s="6">
        <v>96</v>
      </c>
      <c r="M66" s="6">
        <f t="shared" si="0"/>
        <v>279</v>
      </c>
      <c r="N66" s="15">
        <f t="shared" ref="N66:N73" si="9">M66</f>
        <v>279</v>
      </c>
    </row>
    <row r="67" spans="1:14">
      <c r="A67" s="15" t="s">
        <v>106</v>
      </c>
      <c r="B67" s="16" t="s">
        <v>21</v>
      </c>
      <c r="C67" s="15" t="s">
        <v>49</v>
      </c>
      <c r="D67" s="16" t="s">
        <v>3</v>
      </c>
      <c r="E67" s="15" t="s">
        <v>381</v>
      </c>
      <c r="F67" s="15" t="s">
        <v>383</v>
      </c>
      <c r="G67" s="6">
        <v>95</v>
      </c>
      <c r="H67" s="6">
        <v>90</v>
      </c>
      <c r="I67" s="6">
        <v>85</v>
      </c>
      <c r="M67" s="6">
        <f t="shared" si="0"/>
        <v>270</v>
      </c>
      <c r="N67" s="15">
        <f t="shared" si="9"/>
        <v>270</v>
      </c>
    </row>
    <row r="68" spans="1:14">
      <c r="A68" s="15" t="s">
        <v>98</v>
      </c>
      <c r="B68" s="16" t="s">
        <v>21</v>
      </c>
      <c r="C68" s="15" t="s">
        <v>49</v>
      </c>
      <c r="D68" s="16" t="s">
        <v>3</v>
      </c>
      <c r="E68" s="15" t="s">
        <v>381</v>
      </c>
      <c r="F68" s="15" t="s">
        <v>383</v>
      </c>
      <c r="G68" s="6">
        <v>96</v>
      </c>
      <c r="H68" s="6">
        <v>90</v>
      </c>
      <c r="I68" s="6">
        <v>83</v>
      </c>
      <c r="M68" s="6">
        <f t="shared" si="0"/>
        <v>269</v>
      </c>
      <c r="N68" s="15">
        <f t="shared" si="9"/>
        <v>269</v>
      </c>
    </row>
    <row r="69" spans="1:14">
      <c r="A69" s="15" t="s">
        <v>153</v>
      </c>
      <c r="B69" s="16" t="s">
        <v>21</v>
      </c>
      <c r="C69" s="15" t="s">
        <v>49</v>
      </c>
      <c r="D69" s="16" t="s">
        <v>3</v>
      </c>
      <c r="E69" s="15" t="s">
        <v>381</v>
      </c>
      <c r="F69" s="15" t="s">
        <v>383</v>
      </c>
      <c r="G69" s="6">
        <v>96</v>
      </c>
      <c r="H69" s="6">
        <v>93</v>
      </c>
      <c r="I69" s="6">
        <v>87</v>
      </c>
      <c r="M69" s="6">
        <f t="shared" si="0"/>
        <v>276</v>
      </c>
      <c r="N69" s="15">
        <f t="shared" si="9"/>
        <v>276</v>
      </c>
    </row>
    <row r="70" spans="1:14">
      <c r="A70" s="15" t="s">
        <v>121</v>
      </c>
      <c r="B70" s="16" t="s">
        <v>22</v>
      </c>
      <c r="C70" s="15" t="s">
        <v>49</v>
      </c>
      <c r="D70" s="16" t="s">
        <v>3</v>
      </c>
      <c r="E70" s="15" t="s">
        <v>381</v>
      </c>
      <c r="F70" s="15" t="s">
        <v>383</v>
      </c>
      <c r="G70" s="6">
        <v>95</v>
      </c>
      <c r="H70" s="6">
        <v>96</v>
      </c>
      <c r="I70" s="6">
        <v>88</v>
      </c>
      <c r="M70" s="6">
        <f t="shared" si="0"/>
        <v>279</v>
      </c>
      <c r="N70" s="15">
        <f t="shared" si="9"/>
        <v>279</v>
      </c>
    </row>
    <row r="71" spans="1:14">
      <c r="A71" s="15" t="s">
        <v>141</v>
      </c>
      <c r="B71" s="16" t="s">
        <v>22</v>
      </c>
      <c r="C71" s="15" t="s">
        <v>49</v>
      </c>
      <c r="D71" s="16" t="s">
        <v>3</v>
      </c>
      <c r="E71" s="15" t="s">
        <v>381</v>
      </c>
      <c r="F71" s="15" t="s">
        <v>383</v>
      </c>
      <c r="G71" s="6">
        <v>87</v>
      </c>
      <c r="H71" s="6">
        <v>57</v>
      </c>
      <c r="I71" s="6">
        <v>76</v>
      </c>
      <c r="M71" s="6">
        <f t="shared" si="0"/>
        <v>220</v>
      </c>
      <c r="N71" s="15">
        <f t="shared" si="9"/>
        <v>220</v>
      </c>
    </row>
    <row r="72" spans="1:14">
      <c r="A72" s="15" t="s">
        <v>135</v>
      </c>
      <c r="B72" s="16" t="s">
        <v>22</v>
      </c>
      <c r="C72" s="15" t="s">
        <v>49</v>
      </c>
      <c r="D72" s="16" t="s">
        <v>3</v>
      </c>
      <c r="E72" s="15" t="s">
        <v>381</v>
      </c>
      <c r="F72" s="15" t="s">
        <v>383</v>
      </c>
      <c r="G72" s="6">
        <v>81</v>
      </c>
      <c r="H72" s="6">
        <v>75</v>
      </c>
      <c r="I72" s="6">
        <v>63</v>
      </c>
      <c r="M72" s="6">
        <f t="shared" si="0"/>
        <v>219</v>
      </c>
      <c r="N72" s="15">
        <f t="shared" si="9"/>
        <v>219</v>
      </c>
    </row>
    <row r="73" spans="1:14">
      <c r="A73" s="15" t="s">
        <v>259</v>
      </c>
      <c r="B73" s="16" t="s">
        <v>22</v>
      </c>
      <c r="C73" s="15" t="s">
        <v>382</v>
      </c>
      <c r="D73" s="16" t="s">
        <v>3</v>
      </c>
      <c r="E73" s="15" t="s">
        <v>381</v>
      </c>
      <c r="F73" s="15" t="s">
        <v>383</v>
      </c>
      <c r="G73" s="6">
        <v>71</v>
      </c>
      <c r="H73" s="6">
        <v>57</v>
      </c>
      <c r="I73" s="6">
        <v>56</v>
      </c>
      <c r="M73" s="6">
        <f t="shared" si="0"/>
        <v>184</v>
      </c>
      <c r="N73" s="15">
        <f t="shared" si="9"/>
        <v>184</v>
      </c>
    </row>
    <row r="74" spans="1:14">
      <c r="A74" s="15" t="s">
        <v>75</v>
      </c>
      <c r="B74" s="16" t="s">
        <v>22</v>
      </c>
      <c r="C74" s="15" t="s">
        <v>49</v>
      </c>
      <c r="D74" s="16" t="s">
        <v>3</v>
      </c>
      <c r="E74" s="15" t="s">
        <v>51</v>
      </c>
      <c r="F74" s="15" t="s">
        <v>383</v>
      </c>
      <c r="G74" s="6">
        <v>90</v>
      </c>
      <c r="H74" s="6">
        <v>90</v>
      </c>
      <c r="I74" s="6">
        <v>83</v>
      </c>
      <c r="M74" s="6">
        <f t="shared" si="0"/>
        <v>263</v>
      </c>
      <c r="N74" s="15"/>
    </row>
    <row r="75" spans="1:14">
      <c r="A75" s="15" t="s">
        <v>256</v>
      </c>
      <c r="B75" s="16" t="s">
        <v>22</v>
      </c>
      <c r="C75" s="15" t="s">
        <v>382</v>
      </c>
      <c r="D75" s="16" t="s">
        <v>3</v>
      </c>
      <c r="E75" s="15" t="s">
        <v>51</v>
      </c>
      <c r="F75" s="15" t="s">
        <v>383</v>
      </c>
      <c r="G75" s="6">
        <v>62</v>
      </c>
      <c r="H75" s="6">
        <v>87</v>
      </c>
      <c r="I75" s="6">
        <v>63</v>
      </c>
      <c r="M75" s="6">
        <f t="shared" si="0"/>
        <v>212</v>
      </c>
      <c r="N75" s="15"/>
    </row>
    <row r="76" spans="1:14">
      <c r="A76" s="15" t="s">
        <v>166</v>
      </c>
      <c r="B76" s="16" t="s">
        <v>15</v>
      </c>
      <c r="C76" s="15" t="s">
        <v>49</v>
      </c>
      <c r="D76" s="15" t="s">
        <v>3</v>
      </c>
      <c r="E76" s="15" t="s">
        <v>51</v>
      </c>
      <c r="F76" s="15" t="s">
        <v>52</v>
      </c>
      <c r="G76" s="6">
        <v>87</v>
      </c>
      <c r="H76" s="6">
        <v>86</v>
      </c>
      <c r="I76" s="6">
        <v>84</v>
      </c>
      <c r="M76" s="6">
        <f t="shared" si="0"/>
        <v>257</v>
      </c>
      <c r="N76" s="15"/>
    </row>
    <row r="77" spans="1:14">
      <c r="A77" s="15" t="s">
        <v>129</v>
      </c>
      <c r="B77" s="16" t="s">
        <v>24</v>
      </c>
      <c r="C77" s="15" t="s">
        <v>49</v>
      </c>
      <c r="D77" s="15" t="s">
        <v>3</v>
      </c>
      <c r="E77" s="15" t="s">
        <v>51</v>
      </c>
      <c r="F77" s="15" t="s">
        <v>383</v>
      </c>
      <c r="G77" s="6">
        <v>88</v>
      </c>
      <c r="H77" s="6">
        <v>94</v>
      </c>
      <c r="I77" s="6">
        <v>88</v>
      </c>
      <c r="M77" s="6">
        <f t="shared" si="0"/>
        <v>270</v>
      </c>
      <c r="N77" s="15"/>
    </row>
    <row r="78" spans="1:14">
      <c r="A78" s="15" t="s">
        <v>213</v>
      </c>
      <c r="B78" s="16" t="s">
        <v>18</v>
      </c>
      <c r="C78" s="15" t="s">
        <v>382</v>
      </c>
      <c r="D78" s="15" t="s">
        <v>3</v>
      </c>
      <c r="E78" s="15" t="s">
        <v>51</v>
      </c>
      <c r="F78" s="15" t="s">
        <v>383</v>
      </c>
      <c r="G78" s="6">
        <v>97</v>
      </c>
      <c r="H78" s="6">
        <v>89</v>
      </c>
      <c r="I78" s="6">
        <v>67</v>
      </c>
      <c r="M78" s="6">
        <f t="shared" si="0"/>
        <v>253</v>
      </c>
      <c r="N78" s="15"/>
    </row>
    <row r="79" spans="1:14">
      <c r="A79" s="15" t="s">
        <v>56</v>
      </c>
      <c r="B79" s="16" t="s">
        <v>13</v>
      </c>
      <c r="C79" s="15" t="s">
        <v>49</v>
      </c>
      <c r="D79" s="16" t="s">
        <v>4</v>
      </c>
      <c r="E79" s="15" t="s">
        <v>381</v>
      </c>
      <c r="F79" s="15" t="s">
        <v>52</v>
      </c>
      <c r="G79" s="6">
        <v>89</v>
      </c>
      <c r="H79" s="6">
        <v>74</v>
      </c>
      <c r="M79" s="6">
        <f t="shared" si="0"/>
        <v>163</v>
      </c>
      <c r="N79" s="15">
        <f>M79/2*3</f>
        <v>244.5</v>
      </c>
    </row>
    <row r="80" spans="1:14">
      <c r="A80" s="15" t="s">
        <v>68</v>
      </c>
      <c r="B80" s="16" t="s">
        <v>13</v>
      </c>
      <c r="C80" s="15" t="s">
        <v>49</v>
      </c>
      <c r="D80" s="16" t="s">
        <v>4</v>
      </c>
      <c r="E80" s="15" t="s">
        <v>51</v>
      </c>
      <c r="F80" s="15" t="s">
        <v>52</v>
      </c>
      <c r="G80" s="6">
        <v>90</v>
      </c>
      <c r="H80" s="6">
        <v>84</v>
      </c>
      <c r="M80" s="6">
        <f t="shared" si="0"/>
        <v>174</v>
      </c>
      <c r="N80" s="15"/>
    </row>
    <row r="81" spans="1:14">
      <c r="A81" s="15" t="s">
        <v>142</v>
      </c>
      <c r="B81" s="16" t="s">
        <v>16</v>
      </c>
      <c r="C81" s="15" t="s">
        <v>49</v>
      </c>
      <c r="D81" s="16" t="s">
        <v>4</v>
      </c>
      <c r="E81" s="15" t="s">
        <v>381</v>
      </c>
      <c r="F81" s="15" t="s">
        <v>52</v>
      </c>
      <c r="G81" s="6">
        <v>72</v>
      </c>
      <c r="H81" s="6">
        <v>69</v>
      </c>
      <c r="M81" s="6">
        <f t="shared" si="0"/>
        <v>141</v>
      </c>
      <c r="N81" s="15">
        <f>M81/2*3</f>
        <v>211.5</v>
      </c>
    </row>
    <row r="82" spans="1:14">
      <c r="A82" s="15" t="s">
        <v>104</v>
      </c>
      <c r="B82" s="16" t="s">
        <v>16</v>
      </c>
      <c r="C82" s="15" t="s">
        <v>49</v>
      </c>
      <c r="D82" s="16" t="s">
        <v>4</v>
      </c>
      <c r="E82" s="15" t="s">
        <v>51</v>
      </c>
      <c r="F82" s="15" t="s">
        <v>52</v>
      </c>
      <c r="G82" s="6">
        <v>70</v>
      </c>
      <c r="H82" s="6">
        <v>53</v>
      </c>
      <c r="M82" s="6">
        <f t="shared" si="0"/>
        <v>123</v>
      </c>
      <c r="N82" s="15"/>
    </row>
    <row r="83" spans="1:14">
      <c r="A83" s="15" t="s">
        <v>80</v>
      </c>
      <c r="B83" s="15" t="s">
        <v>25</v>
      </c>
      <c r="C83" s="15" t="s">
        <v>49</v>
      </c>
      <c r="D83" s="16" t="s">
        <v>4</v>
      </c>
      <c r="E83" s="15" t="s">
        <v>51</v>
      </c>
      <c r="F83" s="15" t="s">
        <v>52</v>
      </c>
      <c r="G83" s="6">
        <v>53</v>
      </c>
      <c r="H83" s="6">
        <v>66</v>
      </c>
      <c r="M83" s="6">
        <f t="shared" si="0"/>
        <v>119</v>
      </c>
      <c r="N83" s="15"/>
    </row>
    <row r="84" spans="1:14">
      <c r="A84" s="15" t="s">
        <v>140</v>
      </c>
      <c r="B84" s="16" t="s">
        <v>25</v>
      </c>
      <c r="C84" s="15" t="s">
        <v>49</v>
      </c>
      <c r="D84" s="16" t="s">
        <v>4</v>
      </c>
      <c r="E84" s="15" t="s">
        <v>381</v>
      </c>
      <c r="F84" s="15" t="s">
        <v>52</v>
      </c>
      <c r="G84" s="6">
        <v>67</v>
      </c>
      <c r="H84" s="6">
        <v>60</v>
      </c>
      <c r="M84" s="6">
        <f t="shared" si="0"/>
        <v>127</v>
      </c>
      <c r="N84" s="15">
        <f t="shared" ref="N84:N87" si="10">M84/2*3</f>
        <v>190.5</v>
      </c>
    </row>
    <row r="85" spans="1:14">
      <c r="A85" s="15" t="s">
        <v>137</v>
      </c>
      <c r="B85" s="16" t="s">
        <v>27</v>
      </c>
      <c r="C85" s="15" t="s">
        <v>49</v>
      </c>
      <c r="D85" s="16" t="s">
        <v>4</v>
      </c>
      <c r="E85" s="15" t="s">
        <v>381</v>
      </c>
      <c r="F85" s="15" t="s">
        <v>52</v>
      </c>
      <c r="G85" s="6">
        <v>76</v>
      </c>
      <c r="H85" s="6">
        <v>59</v>
      </c>
      <c r="M85" s="6">
        <f t="shared" si="0"/>
        <v>135</v>
      </c>
      <c r="N85" s="15">
        <f t="shared" si="10"/>
        <v>202.5</v>
      </c>
    </row>
    <row r="86" spans="1:14">
      <c r="A86" s="15" t="s">
        <v>82</v>
      </c>
      <c r="B86" s="16" t="s">
        <v>17</v>
      </c>
      <c r="C86" s="15" t="s">
        <v>49</v>
      </c>
      <c r="D86" s="16" t="s">
        <v>4</v>
      </c>
      <c r="E86" s="15" t="s">
        <v>381</v>
      </c>
      <c r="F86" s="15" t="s">
        <v>52</v>
      </c>
      <c r="G86" s="6">
        <v>87</v>
      </c>
      <c r="H86" s="6">
        <v>79</v>
      </c>
      <c r="M86" s="6">
        <f t="shared" si="0"/>
        <v>166</v>
      </c>
      <c r="N86" s="15">
        <f t="shared" si="10"/>
        <v>249</v>
      </c>
    </row>
    <row r="87" spans="1:14">
      <c r="A87" s="15" t="s">
        <v>97</v>
      </c>
      <c r="B87" s="16" t="s">
        <v>26</v>
      </c>
      <c r="C87" s="15" t="s">
        <v>49</v>
      </c>
      <c r="D87" s="16" t="s">
        <v>4</v>
      </c>
      <c r="E87" s="15" t="s">
        <v>381</v>
      </c>
      <c r="F87" s="15" t="s">
        <v>52</v>
      </c>
      <c r="G87" s="6">
        <v>77</v>
      </c>
      <c r="H87" s="6">
        <v>64</v>
      </c>
      <c r="M87" s="6">
        <f t="shared" si="0"/>
        <v>141</v>
      </c>
      <c r="N87" s="15">
        <f t="shared" si="10"/>
        <v>211.5</v>
      </c>
    </row>
    <row r="88" spans="1:14">
      <c r="A88" s="15" t="s">
        <v>78</v>
      </c>
      <c r="B88" s="16" t="s">
        <v>15</v>
      </c>
      <c r="C88" s="15" t="s">
        <v>49</v>
      </c>
      <c r="D88" s="16" t="s">
        <v>4</v>
      </c>
      <c r="E88" s="15" t="s">
        <v>51</v>
      </c>
      <c r="F88" s="15" t="s">
        <v>52</v>
      </c>
      <c r="G88" s="6">
        <v>93</v>
      </c>
      <c r="H88" s="6">
        <v>86</v>
      </c>
      <c r="M88" s="6">
        <f t="shared" si="0"/>
        <v>179</v>
      </c>
      <c r="N88" s="15"/>
    </row>
    <row r="89" spans="1:14">
      <c r="A89" s="15" t="s">
        <v>81</v>
      </c>
      <c r="B89" s="16" t="s">
        <v>15</v>
      </c>
      <c r="C89" s="15" t="s">
        <v>49</v>
      </c>
      <c r="D89" s="16" t="s">
        <v>4</v>
      </c>
      <c r="E89" s="15" t="s">
        <v>381</v>
      </c>
      <c r="F89" s="15" t="s">
        <v>52</v>
      </c>
      <c r="G89" s="6">
        <v>95</v>
      </c>
      <c r="H89" s="6">
        <v>89</v>
      </c>
      <c r="M89" s="6">
        <f t="shared" si="0"/>
        <v>184</v>
      </c>
      <c r="N89" s="15">
        <f t="shared" ref="N89:N92" si="11">M89/2*3</f>
        <v>276</v>
      </c>
    </row>
    <row r="90" spans="1:14">
      <c r="A90" s="15" t="s">
        <v>237</v>
      </c>
      <c r="B90" s="16" t="s">
        <v>28</v>
      </c>
      <c r="C90" s="15" t="s">
        <v>382</v>
      </c>
      <c r="D90" s="16" t="s">
        <v>4</v>
      </c>
      <c r="E90" s="15" t="s">
        <v>381</v>
      </c>
      <c r="F90" s="15" t="s">
        <v>52</v>
      </c>
      <c r="G90" s="6">
        <v>95</v>
      </c>
      <c r="H90" s="6">
        <v>91</v>
      </c>
      <c r="M90" s="6">
        <f t="shared" si="0"/>
        <v>186</v>
      </c>
      <c r="N90" s="15">
        <f t="shared" si="11"/>
        <v>279</v>
      </c>
    </row>
    <row r="91" spans="1:14">
      <c r="A91" s="15" t="s">
        <v>145</v>
      </c>
      <c r="B91" s="16" t="s">
        <v>24</v>
      </c>
      <c r="C91" s="15" t="s">
        <v>49</v>
      </c>
      <c r="D91" s="15" t="s">
        <v>4</v>
      </c>
      <c r="E91" s="15" t="s">
        <v>381</v>
      </c>
      <c r="F91" s="15" t="s">
        <v>383</v>
      </c>
      <c r="G91" s="6">
        <v>83</v>
      </c>
      <c r="H91" s="6">
        <v>60</v>
      </c>
      <c r="M91" s="6">
        <f t="shared" si="0"/>
        <v>143</v>
      </c>
      <c r="N91" s="15">
        <f t="shared" si="11"/>
        <v>214.5</v>
      </c>
    </row>
    <row r="92" spans="1:14">
      <c r="A92" s="15" t="s">
        <v>86</v>
      </c>
      <c r="B92" s="16" t="s">
        <v>18</v>
      </c>
      <c r="C92" s="15" t="s">
        <v>49</v>
      </c>
      <c r="D92" s="15" t="s">
        <v>4</v>
      </c>
      <c r="E92" s="15" t="s">
        <v>381</v>
      </c>
      <c r="F92" s="15" t="s">
        <v>383</v>
      </c>
      <c r="G92" s="6">
        <v>84</v>
      </c>
      <c r="H92" s="6">
        <v>78</v>
      </c>
      <c r="M92" s="6">
        <f t="shared" si="0"/>
        <v>162</v>
      </c>
      <c r="N92" s="15">
        <f t="shared" si="11"/>
        <v>243</v>
      </c>
    </row>
    <row r="93" spans="1:14">
      <c r="A93" s="15" t="s">
        <v>61</v>
      </c>
      <c r="B93" s="16" t="s">
        <v>18</v>
      </c>
      <c r="C93" s="15" t="s">
        <v>49</v>
      </c>
      <c r="D93" s="15" t="s">
        <v>4</v>
      </c>
      <c r="E93" s="15" t="s">
        <v>51</v>
      </c>
      <c r="F93" s="15" t="s">
        <v>383</v>
      </c>
      <c r="G93" s="6">
        <v>85</v>
      </c>
      <c r="H93" s="6">
        <v>89</v>
      </c>
      <c r="M93" s="6">
        <f t="shared" si="0"/>
        <v>174</v>
      </c>
      <c r="N93" s="15"/>
    </row>
    <row r="94" spans="1:14">
      <c r="A94" s="15" t="s">
        <v>83</v>
      </c>
      <c r="B94" s="16" t="s">
        <v>23</v>
      </c>
      <c r="C94" s="15" t="s">
        <v>49</v>
      </c>
      <c r="D94" s="15" t="s">
        <v>4</v>
      </c>
      <c r="E94" s="15" t="s">
        <v>381</v>
      </c>
      <c r="F94" s="15" t="s">
        <v>383</v>
      </c>
      <c r="G94" s="6">
        <v>82</v>
      </c>
      <c r="H94" s="6">
        <v>85</v>
      </c>
      <c r="M94" s="6">
        <f t="shared" si="0"/>
        <v>167</v>
      </c>
      <c r="N94" s="15">
        <f t="shared" ref="N94:N95" si="12">M94/2*3</f>
        <v>250.5</v>
      </c>
    </row>
    <row r="95" spans="1:14">
      <c r="A95" s="15" t="s">
        <v>246</v>
      </c>
      <c r="B95" s="16" t="s">
        <v>19</v>
      </c>
      <c r="C95" s="15" t="s">
        <v>382</v>
      </c>
      <c r="D95" s="15" t="s">
        <v>4</v>
      </c>
      <c r="E95" s="15" t="s">
        <v>381</v>
      </c>
      <c r="F95" s="15" t="s">
        <v>383</v>
      </c>
      <c r="G95" s="6">
        <v>74</v>
      </c>
      <c r="H95" s="6">
        <v>64</v>
      </c>
      <c r="M95" s="6">
        <f t="shared" si="0"/>
        <v>138</v>
      </c>
      <c r="N95" s="15">
        <f t="shared" si="12"/>
        <v>207</v>
      </c>
    </row>
    <row r="96" spans="1:14">
      <c r="A96" s="15" t="s">
        <v>278</v>
      </c>
      <c r="B96" s="16" t="s">
        <v>19</v>
      </c>
      <c r="C96" s="15" t="s">
        <v>382</v>
      </c>
      <c r="D96" s="15" t="s">
        <v>4</v>
      </c>
      <c r="E96" s="15" t="s">
        <v>51</v>
      </c>
      <c r="F96" s="15" t="s">
        <v>383</v>
      </c>
      <c r="G96" s="6">
        <v>51</v>
      </c>
      <c r="H96" s="6">
        <v>54</v>
      </c>
      <c r="M96" s="6">
        <f t="shared" si="0"/>
        <v>105</v>
      </c>
      <c r="N96" s="15"/>
    </row>
    <row r="97" spans="1:14">
      <c r="A97" s="15" t="s">
        <v>117</v>
      </c>
      <c r="B97" s="16" t="s">
        <v>19</v>
      </c>
      <c r="C97" s="15" t="s">
        <v>49</v>
      </c>
      <c r="D97" s="15" t="s">
        <v>4</v>
      </c>
      <c r="E97" s="15" t="s">
        <v>51</v>
      </c>
      <c r="F97" s="15" t="s">
        <v>383</v>
      </c>
      <c r="G97" s="6">
        <v>69</v>
      </c>
      <c r="H97" s="6">
        <v>61</v>
      </c>
      <c r="M97" s="6">
        <f t="shared" si="0"/>
        <v>130</v>
      </c>
      <c r="N97" s="15"/>
    </row>
    <row r="98" spans="1:14">
      <c r="A98" s="15" t="s">
        <v>85</v>
      </c>
      <c r="B98" s="16" t="s">
        <v>14</v>
      </c>
      <c r="C98" s="15" t="s">
        <v>49</v>
      </c>
      <c r="D98" s="15" t="s">
        <v>4</v>
      </c>
      <c r="E98" s="15" t="s">
        <v>51</v>
      </c>
      <c r="F98" s="15" t="s">
        <v>383</v>
      </c>
      <c r="G98" s="6">
        <v>80</v>
      </c>
      <c r="H98" s="6">
        <v>91</v>
      </c>
      <c r="M98" s="6">
        <f t="shared" si="0"/>
        <v>171</v>
      </c>
      <c r="N98" s="15"/>
    </row>
    <row r="99" spans="1:14">
      <c r="A99" s="15" t="s">
        <v>59</v>
      </c>
      <c r="B99" s="16" t="s">
        <v>14</v>
      </c>
      <c r="C99" s="15" t="s">
        <v>49</v>
      </c>
      <c r="D99" s="15" t="s">
        <v>4</v>
      </c>
      <c r="E99" s="15" t="s">
        <v>51</v>
      </c>
      <c r="F99" s="15" t="s">
        <v>383</v>
      </c>
      <c r="G99" s="6">
        <v>74</v>
      </c>
      <c r="H99" s="6">
        <v>84</v>
      </c>
      <c r="M99" s="6">
        <f t="shared" si="0"/>
        <v>158</v>
      </c>
      <c r="N99" s="15"/>
    </row>
    <row r="100" spans="1:14">
      <c r="A100" s="15" t="s">
        <v>214</v>
      </c>
      <c r="B100" s="16" t="s">
        <v>14</v>
      </c>
      <c r="C100" s="15" t="s">
        <v>382</v>
      </c>
      <c r="D100" s="15" t="s">
        <v>4</v>
      </c>
      <c r="E100" s="15" t="s">
        <v>51</v>
      </c>
      <c r="F100" s="15" t="s">
        <v>383</v>
      </c>
      <c r="G100" s="6">
        <v>84</v>
      </c>
      <c r="H100" s="6">
        <v>78</v>
      </c>
      <c r="M100" s="6">
        <f t="shared" si="0"/>
        <v>162</v>
      </c>
      <c r="N100" s="15"/>
    </row>
    <row r="101" spans="1:14">
      <c r="A101" s="15" t="s">
        <v>132</v>
      </c>
      <c r="B101" s="16" t="s">
        <v>14</v>
      </c>
      <c r="C101" s="15" t="s">
        <v>49</v>
      </c>
      <c r="D101" s="15" t="s">
        <v>4</v>
      </c>
      <c r="E101" s="15" t="s">
        <v>381</v>
      </c>
      <c r="F101" s="15" t="s">
        <v>383</v>
      </c>
      <c r="G101" s="6">
        <v>88</v>
      </c>
      <c r="H101" s="6">
        <v>81</v>
      </c>
      <c r="M101" s="6">
        <f t="shared" si="0"/>
        <v>169</v>
      </c>
      <c r="N101" s="15">
        <f t="shared" ref="N101:N103" si="13">M101/2*3</f>
        <v>253.5</v>
      </c>
    </row>
    <row r="102" spans="1:14">
      <c r="A102" s="15" t="s">
        <v>127</v>
      </c>
      <c r="B102" s="16" t="s">
        <v>21</v>
      </c>
      <c r="C102" s="15" t="s">
        <v>49</v>
      </c>
      <c r="D102" s="15" t="s">
        <v>4</v>
      </c>
      <c r="E102" s="15" t="s">
        <v>381</v>
      </c>
      <c r="F102" s="15" t="s">
        <v>383</v>
      </c>
      <c r="G102" s="6">
        <v>73</v>
      </c>
      <c r="H102" s="6">
        <v>73</v>
      </c>
      <c r="M102" s="6">
        <f t="shared" si="0"/>
        <v>146</v>
      </c>
      <c r="N102" s="15">
        <f t="shared" si="13"/>
        <v>219</v>
      </c>
    </row>
    <row r="103" spans="1:14">
      <c r="A103" s="15" t="s">
        <v>99</v>
      </c>
      <c r="B103" s="16" t="s">
        <v>22</v>
      </c>
      <c r="C103" s="15" t="s">
        <v>49</v>
      </c>
      <c r="D103" s="15" t="s">
        <v>4</v>
      </c>
      <c r="E103" s="15" t="s">
        <v>381</v>
      </c>
      <c r="F103" s="15" t="s">
        <v>383</v>
      </c>
      <c r="G103" s="6">
        <v>69</v>
      </c>
      <c r="H103" s="6">
        <v>72</v>
      </c>
      <c r="M103" s="6">
        <f t="shared" si="0"/>
        <v>141</v>
      </c>
      <c r="N103" s="15">
        <f t="shared" si="13"/>
        <v>211.5</v>
      </c>
    </row>
    <row r="104" spans="1:14">
      <c r="A104" s="15" t="s">
        <v>141</v>
      </c>
      <c r="B104" s="16" t="s">
        <v>22</v>
      </c>
      <c r="C104" s="15" t="s">
        <v>49</v>
      </c>
      <c r="D104" s="15" t="s">
        <v>4</v>
      </c>
      <c r="E104" s="15" t="s">
        <v>51</v>
      </c>
      <c r="F104" s="15" t="s">
        <v>383</v>
      </c>
      <c r="G104" s="6">
        <v>70</v>
      </c>
      <c r="H104" s="6">
        <v>51</v>
      </c>
      <c r="M104" s="6">
        <f t="shared" si="0"/>
        <v>121</v>
      </c>
      <c r="N104" s="15"/>
    </row>
    <row r="105" spans="1:14">
      <c r="A105" s="15" t="s">
        <v>87</v>
      </c>
      <c r="B105" s="16" t="s">
        <v>22</v>
      </c>
      <c r="C105" s="15" t="s">
        <v>49</v>
      </c>
      <c r="D105" s="15" t="s">
        <v>4</v>
      </c>
      <c r="E105" s="15" t="s">
        <v>51</v>
      </c>
      <c r="F105" s="15" t="s">
        <v>383</v>
      </c>
      <c r="G105" s="6">
        <v>74</v>
      </c>
      <c r="H105" s="6">
        <v>66</v>
      </c>
      <c r="M105" s="6">
        <f t="shared" si="0"/>
        <v>140</v>
      </c>
      <c r="N105" s="15"/>
    </row>
    <row r="106" spans="1:14">
      <c r="A106" s="15" t="s">
        <v>63</v>
      </c>
      <c r="B106" s="16" t="s">
        <v>13</v>
      </c>
      <c r="C106" s="15" t="s">
        <v>49</v>
      </c>
      <c r="D106" s="15" t="s">
        <v>4</v>
      </c>
      <c r="E106" s="15" t="s">
        <v>51</v>
      </c>
      <c r="F106" s="15" t="s">
        <v>52</v>
      </c>
      <c r="G106" s="6">
        <v>87</v>
      </c>
      <c r="H106" s="6">
        <v>63</v>
      </c>
      <c r="M106" s="6">
        <f t="shared" si="0"/>
        <v>150</v>
      </c>
      <c r="N106" s="15"/>
    </row>
    <row r="107" spans="1:14">
      <c r="A107" s="15" t="s">
        <v>197</v>
      </c>
      <c r="B107" s="16" t="s">
        <v>15</v>
      </c>
      <c r="C107" s="15" t="s">
        <v>49</v>
      </c>
      <c r="D107" s="16" t="s">
        <v>4</v>
      </c>
      <c r="E107" s="15" t="s">
        <v>51</v>
      </c>
      <c r="F107" s="15" t="s">
        <v>52</v>
      </c>
      <c r="G107" s="6">
        <v>84</v>
      </c>
      <c r="H107" s="6">
        <v>88</v>
      </c>
      <c r="M107" s="6">
        <f t="shared" si="0"/>
        <v>172</v>
      </c>
      <c r="N107" s="15"/>
    </row>
    <row r="108" spans="1:14">
      <c r="A108" s="15" t="s">
        <v>213</v>
      </c>
      <c r="B108" s="16" t="s">
        <v>18</v>
      </c>
      <c r="C108" s="15" t="s">
        <v>382</v>
      </c>
      <c r="D108" s="15" t="s">
        <v>4</v>
      </c>
      <c r="E108" s="15" t="s">
        <v>51</v>
      </c>
      <c r="F108" s="15" t="s">
        <v>383</v>
      </c>
      <c r="G108" s="6">
        <v>80</v>
      </c>
      <c r="H108" s="6">
        <v>89</v>
      </c>
      <c r="M108" s="6">
        <f t="shared" si="0"/>
        <v>169</v>
      </c>
      <c r="N108" s="15"/>
    </row>
    <row r="109" spans="1:14">
      <c r="A109" s="15" t="s">
        <v>202</v>
      </c>
      <c r="B109" s="16" t="s">
        <v>20</v>
      </c>
      <c r="C109" s="15" t="s">
        <v>49</v>
      </c>
      <c r="D109" s="15" t="s">
        <v>4</v>
      </c>
      <c r="E109" s="15" t="s">
        <v>381</v>
      </c>
      <c r="F109" s="15" t="s">
        <v>383</v>
      </c>
      <c r="G109" s="6">
        <v>33</v>
      </c>
      <c r="H109" s="6">
        <v>40</v>
      </c>
      <c r="M109" s="6">
        <f t="shared" si="0"/>
        <v>73</v>
      </c>
      <c r="N109" s="15">
        <f>M109/2*3</f>
        <v>109.5</v>
      </c>
    </row>
    <row r="110" spans="1:14">
      <c r="A110" s="15" t="s">
        <v>57</v>
      </c>
      <c r="B110" s="16" t="s">
        <v>14</v>
      </c>
      <c r="C110" s="15" t="s">
        <v>49</v>
      </c>
      <c r="D110" s="15" t="s">
        <v>4</v>
      </c>
      <c r="E110" s="15" t="s">
        <v>51</v>
      </c>
      <c r="F110" s="15" t="s">
        <v>383</v>
      </c>
      <c r="G110" s="6">
        <v>77</v>
      </c>
      <c r="H110" s="6">
        <v>64</v>
      </c>
      <c r="M110" s="6">
        <f t="shared" si="0"/>
        <v>141</v>
      </c>
      <c r="N110" s="15"/>
    </row>
    <row r="111" spans="1:14">
      <c r="A111" s="15" t="s">
        <v>84</v>
      </c>
      <c r="B111" s="16" t="s">
        <v>14</v>
      </c>
      <c r="C111" s="15" t="s">
        <v>49</v>
      </c>
      <c r="D111" s="15" t="s">
        <v>4</v>
      </c>
      <c r="E111" s="15" t="s">
        <v>51</v>
      </c>
      <c r="F111" s="15" t="s">
        <v>383</v>
      </c>
      <c r="G111" s="6">
        <v>75</v>
      </c>
      <c r="H111" s="6">
        <v>71</v>
      </c>
      <c r="M111" s="6">
        <f t="shared" si="0"/>
        <v>146</v>
      </c>
      <c r="N111" s="15"/>
    </row>
    <row r="112" spans="1:14">
      <c r="A112" s="15" t="s">
        <v>92</v>
      </c>
      <c r="B112" s="16" t="s">
        <v>14</v>
      </c>
      <c r="C112" s="15" t="s">
        <v>49</v>
      </c>
      <c r="D112" s="15" t="s">
        <v>4</v>
      </c>
      <c r="E112" s="15" t="s">
        <v>51</v>
      </c>
      <c r="F112" s="15" t="s">
        <v>383</v>
      </c>
      <c r="G112" s="6">
        <v>77</v>
      </c>
      <c r="H112" s="6">
        <v>76</v>
      </c>
      <c r="M112" s="6">
        <f t="shared" si="0"/>
        <v>153</v>
      </c>
      <c r="N112" s="15"/>
    </row>
    <row r="113" spans="1:14">
      <c r="A113" s="15" t="s">
        <v>289</v>
      </c>
      <c r="B113" s="16" t="s">
        <v>13</v>
      </c>
      <c r="C113" s="15" t="s">
        <v>384</v>
      </c>
      <c r="D113" s="16" t="s">
        <v>5</v>
      </c>
      <c r="E113" s="15" t="s">
        <v>381</v>
      </c>
      <c r="F113" s="15" t="s">
        <v>52</v>
      </c>
      <c r="G113" s="6">
        <v>88</v>
      </c>
      <c r="H113" s="6">
        <v>90</v>
      </c>
      <c r="I113" s="6">
        <v>86</v>
      </c>
      <c r="J113" s="6">
        <v>86</v>
      </c>
      <c r="K113" s="6">
        <v>90</v>
      </c>
      <c r="L113" s="6">
        <v>89</v>
      </c>
      <c r="M113" s="6">
        <f t="shared" si="0"/>
        <v>529</v>
      </c>
      <c r="N113" s="15">
        <f t="shared" ref="N113:N118" si="14">M113/6*3</f>
        <v>264.5</v>
      </c>
    </row>
    <row r="114" spans="1:14">
      <c r="A114" s="15" t="s">
        <v>221</v>
      </c>
      <c r="B114" s="16" t="s">
        <v>13</v>
      </c>
      <c r="C114" s="15" t="s">
        <v>382</v>
      </c>
      <c r="D114" s="16" t="s">
        <v>5</v>
      </c>
      <c r="E114" s="15" t="s">
        <v>381</v>
      </c>
      <c r="F114" s="15" t="s">
        <v>52</v>
      </c>
      <c r="G114" s="6">
        <v>90</v>
      </c>
      <c r="H114" s="6">
        <v>89</v>
      </c>
      <c r="I114" s="6">
        <v>91</v>
      </c>
      <c r="J114" s="6">
        <v>94</v>
      </c>
      <c r="K114" s="6">
        <v>85</v>
      </c>
      <c r="L114" s="6">
        <v>92</v>
      </c>
      <c r="M114" s="6">
        <f t="shared" si="0"/>
        <v>541</v>
      </c>
      <c r="N114" s="15">
        <f t="shared" si="14"/>
        <v>270.5</v>
      </c>
    </row>
    <row r="115" spans="1:14">
      <c r="A115" s="15" t="s">
        <v>287</v>
      </c>
      <c r="B115" s="16" t="s">
        <v>16</v>
      </c>
      <c r="C115" s="15" t="s">
        <v>384</v>
      </c>
      <c r="D115" s="16" t="s">
        <v>5</v>
      </c>
      <c r="E115" s="15" t="s">
        <v>381</v>
      </c>
      <c r="F115" s="15" t="s">
        <v>52</v>
      </c>
      <c r="G115" s="6">
        <v>83</v>
      </c>
      <c r="H115" s="6">
        <v>89</v>
      </c>
      <c r="I115" s="6">
        <v>88</v>
      </c>
      <c r="J115" s="6">
        <v>95</v>
      </c>
      <c r="K115" s="6">
        <v>94</v>
      </c>
      <c r="L115" s="6">
        <v>93</v>
      </c>
      <c r="M115" s="6">
        <f t="shared" si="0"/>
        <v>542</v>
      </c>
      <c r="N115" s="15">
        <f t="shared" si="14"/>
        <v>271</v>
      </c>
    </row>
    <row r="116" spans="1:14">
      <c r="A116" s="15" t="s">
        <v>208</v>
      </c>
      <c r="B116" s="16" t="s">
        <v>16</v>
      </c>
      <c r="C116" s="15" t="s">
        <v>382</v>
      </c>
      <c r="D116" s="16" t="s">
        <v>5</v>
      </c>
      <c r="E116" s="15" t="s">
        <v>381</v>
      </c>
      <c r="F116" s="15" t="s">
        <v>52</v>
      </c>
      <c r="G116" s="6">
        <v>95</v>
      </c>
      <c r="H116" s="6">
        <v>95</v>
      </c>
      <c r="I116" s="6">
        <v>94</v>
      </c>
      <c r="J116" s="6">
        <v>96</v>
      </c>
      <c r="K116" s="6">
        <v>90</v>
      </c>
      <c r="L116" s="6">
        <v>92</v>
      </c>
      <c r="M116" s="6">
        <f t="shared" si="0"/>
        <v>562</v>
      </c>
      <c r="N116" s="15">
        <f t="shared" si="14"/>
        <v>281</v>
      </c>
    </row>
    <row r="117" spans="1:14">
      <c r="A117" s="15" t="s">
        <v>215</v>
      </c>
      <c r="B117" s="16" t="s">
        <v>25</v>
      </c>
      <c r="C117" s="15" t="s">
        <v>382</v>
      </c>
      <c r="D117" s="16" t="s">
        <v>5</v>
      </c>
      <c r="E117" s="15" t="s">
        <v>381</v>
      </c>
      <c r="F117" s="15" t="s">
        <v>52</v>
      </c>
      <c r="G117" s="6">
        <v>74</v>
      </c>
      <c r="H117" s="6">
        <v>81</v>
      </c>
      <c r="I117" s="6">
        <v>81</v>
      </c>
      <c r="J117" s="6">
        <v>21</v>
      </c>
      <c r="K117" s="6">
        <v>50</v>
      </c>
      <c r="L117" s="6">
        <v>48</v>
      </c>
      <c r="M117" s="6">
        <f t="shared" si="0"/>
        <v>355</v>
      </c>
      <c r="N117" s="15">
        <f t="shared" si="14"/>
        <v>177.5</v>
      </c>
    </row>
    <row r="118" spans="1:14">
      <c r="A118" s="15" t="s">
        <v>97</v>
      </c>
      <c r="B118" s="16" t="s">
        <v>26</v>
      </c>
      <c r="C118" s="15" t="s">
        <v>49</v>
      </c>
      <c r="D118" s="16" t="s">
        <v>5</v>
      </c>
      <c r="E118" s="15" t="s">
        <v>381</v>
      </c>
      <c r="F118" s="15" t="s">
        <v>52</v>
      </c>
      <c r="G118" s="6">
        <v>75</v>
      </c>
      <c r="H118" s="6">
        <v>86</v>
      </c>
      <c r="I118" s="6">
        <v>79</v>
      </c>
      <c r="J118" s="6">
        <v>54</v>
      </c>
      <c r="K118" s="6">
        <v>47</v>
      </c>
      <c r="L118" s="6">
        <v>56</v>
      </c>
      <c r="M118" s="6">
        <f t="shared" si="0"/>
        <v>397</v>
      </c>
      <c r="N118" s="15">
        <f t="shared" si="14"/>
        <v>198.5</v>
      </c>
    </row>
    <row r="119" spans="1:14">
      <c r="A119" s="15" t="s">
        <v>280</v>
      </c>
      <c r="B119" s="16" t="s">
        <v>15</v>
      </c>
      <c r="C119" s="15" t="s">
        <v>384</v>
      </c>
      <c r="D119" s="16" t="s">
        <v>5</v>
      </c>
      <c r="E119" s="15" t="s">
        <v>51</v>
      </c>
      <c r="F119" s="15" t="s">
        <v>52</v>
      </c>
      <c r="G119" s="6">
        <v>92</v>
      </c>
      <c r="H119" s="6">
        <v>91</v>
      </c>
      <c r="I119" s="6">
        <v>91</v>
      </c>
      <c r="J119" s="6">
        <v>89</v>
      </c>
      <c r="K119" s="6">
        <v>93</v>
      </c>
      <c r="L119" s="6">
        <v>92</v>
      </c>
      <c r="M119" s="6">
        <f t="shared" si="0"/>
        <v>548</v>
      </c>
      <c r="N119" s="15"/>
    </row>
    <row r="120" spans="1:14">
      <c r="A120" s="15" t="s">
        <v>222</v>
      </c>
      <c r="B120" s="16" t="s">
        <v>15</v>
      </c>
      <c r="C120" s="15" t="s">
        <v>382</v>
      </c>
      <c r="D120" s="16" t="s">
        <v>5</v>
      </c>
      <c r="E120" s="15" t="s">
        <v>381</v>
      </c>
      <c r="F120" s="15" t="s">
        <v>52</v>
      </c>
      <c r="G120" s="6">
        <v>91</v>
      </c>
      <c r="H120" s="6">
        <v>87</v>
      </c>
      <c r="I120" s="6">
        <v>90</v>
      </c>
      <c r="J120" s="6">
        <v>90</v>
      </c>
      <c r="K120" s="6">
        <v>91</v>
      </c>
      <c r="L120" s="6">
        <v>90</v>
      </c>
      <c r="M120" s="6">
        <f t="shared" si="0"/>
        <v>539</v>
      </c>
      <c r="N120" s="15">
        <f>M120/6*3</f>
        <v>269.5</v>
      </c>
    </row>
    <row r="121" spans="1:14">
      <c r="A121" s="15" t="s">
        <v>90</v>
      </c>
      <c r="B121" s="16" t="s">
        <v>15</v>
      </c>
      <c r="C121" s="15" t="s">
        <v>49</v>
      </c>
      <c r="D121" s="16" t="s">
        <v>5</v>
      </c>
      <c r="E121" s="15" t="s">
        <v>51</v>
      </c>
      <c r="F121" s="15" t="s">
        <v>52</v>
      </c>
      <c r="G121" s="6">
        <v>92</v>
      </c>
      <c r="H121" s="6">
        <v>93</v>
      </c>
      <c r="I121" s="6">
        <v>90</v>
      </c>
      <c r="J121" s="6">
        <v>94</v>
      </c>
      <c r="K121" s="6">
        <v>97</v>
      </c>
      <c r="L121" s="6">
        <v>98</v>
      </c>
      <c r="M121" s="6">
        <f t="shared" si="0"/>
        <v>564</v>
      </c>
      <c r="N121" s="15"/>
    </row>
    <row r="122" spans="1:14">
      <c r="A122" s="15" t="s">
        <v>102</v>
      </c>
      <c r="B122" s="16" t="s">
        <v>28</v>
      </c>
      <c r="C122" s="15" t="s">
        <v>49</v>
      </c>
      <c r="D122" s="16" t="s">
        <v>5</v>
      </c>
      <c r="E122" s="15" t="s">
        <v>381</v>
      </c>
      <c r="F122" s="15" t="s">
        <v>52</v>
      </c>
      <c r="G122" s="6">
        <v>88</v>
      </c>
      <c r="H122" s="6">
        <v>96</v>
      </c>
      <c r="I122" s="6">
        <v>92</v>
      </c>
      <c r="M122" s="6">
        <f t="shared" si="0"/>
        <v>276</v>
      </c>
      <c r="N122" s="15">
        <f t="shared" ref="N122:N139" si="15">M122/6*3</f>
        <v>138</v>
      </c>
    </row>
    <row r="123" spans="1:14">
      <c r="A123" s="15" t="s">
        <v>89</v>
      </c>
      <c r="B123" s="16" t="s">
        <v>17</v>
      </c>
      <c r="C123" s="15" t="s">
        <v>49</v>
      </c>
      <c r="D123" s="16" t="s">
        <v>5</v>
      </c>
      <c r="E123" s="15" t="s">
        <v>381</v>
      </c>
      <c r="F123" s="15" t="s">
        <v>52</v>
      </c>
      <c r="G123" s="6">
        <v>0</v>
      </c>
      <c r="H123" s="6">
        <v>0</v>
      </c>
      <c r="I123" s="6">
        <v>0</v>
      </c>
      <c r="J123" s="6">
        <v>92</v>
      </c>
      <c r="K123" s="6">
        <v>93</v>
      </c>
      <c r="L123" s="6">
        <v>83</v>
      </c>
      <c r="M123" s="6">
        <f t="shared" si="0"/>
        <v>268</v>
      </c>
      <c r="N123" s="15">
        <f t="shared" si="15"/>
        <v>134</v>
      </c>
    </row>
    <row r="124" spans="1:14">
      <c r="A124" s="15" t="s">
        <v>275</v>
      </c>
      <c r="B124" s="16" t="s">
        <v>17</v>
      </c>
      <c r="C124" s="15" t="s">
        <v>382</v>
      </c>
      <c r="D124" s="16" t="s">
        <v>5</v>
      </c>
      <c r="E124" s="15" t="s">
        <v>381</v>
      </c>
      <c r="F124" s="15" t="s">
        <v>52</v>
      </c>
      <c r="G124" s="6">
        <v>0</v>
      </c>
      <c r="H124" s="6">
        <v>0</v>
      </c>
      <c r="I124" s="6">
        <v>0</v>
      </c>
      <c r="J124" s="6">
        <v>50</v>
      </c>
      <c r="K124" s="6">
        <v>65</v>
      </c>
      <c r="L124" s="6">
        <v>75</v>
      </c>
      <c r="M124" s="6">
        <f t="shared" si="0"/>
        <v>190</v>
      </c>
      <c r="N124" s="15">
        <f t="shared" si="15"/>
        <v>95</v>
      </c>
    </row>
    <row r="125" spans="1:14">
      <c r="A125" s="15" t="s">
        <v>204</v>
      </c>
      <c r="B125" s="16" t="s">
        <v>24</v>
      </c>
      <c r="C125" s="15" t="s">
        <v>382</v>
      </c>
      <c r="D125" s="16" t="s">
        <v>5</v>
      </c>
      <c r="E125" s="15" t="s">
        <v>381</v>
      </c>
      <c r="F125" s="15" t="s">
        <v>383</v>
      </c>
      <c r="G125" s="6">
        <v>86</v>
      </c>
      <c r="H125" s="6">
        <v>91</v>
      </c>
      <c r="I125" s="6">
        <v>92</v>
      </c>
      <c r="J125" s="6">
        <v>79</v>
      </c>
      <c r="K125" s="6">
        <v>91</v>
      </c>
      <c r="L125" s="6">
        <v>81</v>
      </c>
      <c r="M125" s="6">
        <f t="shared" si="0"/>
        <v>520</v>
      </c>
      <c r="N125" s="15">
        <f t="shared" si="15"/>
        <v>260</v>
      </c>
    </row>
    <row r="126" spans="1:14">
      <c r="A126" s="15" t="s">
        <v>118</v>
      </c>
      <c r="B126" s="16" t="s">
        <v>18</v>
      </c>
      <c r="C126" s="15" t="s">
        <v>49</v>
      </c>
      <c r="D126" s="16" t="s">
        <v>5</v>
      </c>
      <c r="E126" s="15" t="s">
        <v>381</v>
      </c>
      <c r="F126" s="15" t="s">
        <v>383</v>
      </c>
      <c r="G126" s="6">
        <v>84</v>
      </c>
      <c r="H126" s="6">
        <v>86</v>
      </c>
      <c r="I126" s="6">
        <v>87</v>
      </c>
      <c r="J126" s="6">
        <v>70</v>
      </c>
      <c r="K126" s="6">
        <v>77</v>
      </c>
      <c r="L126" s="6">
        <v>65</v>
      </c>
      <c r="M126" s="6">
        <f t="shared" si="0"/>
        <v>469</v>
      </c>
      <c r="N126" s="15">
        <f t="shared" si="15"/>
        <v>234.5</v>
      </c>
    </row>
    <row r="127" spans="1:14">
      <c r="A127" s="15" t="s">
        <v>218</v>
      </c>
      <c r="B127" s="16" t="s">
        <v>18</v>
      </c>
      <c r="C127" s="15" t="s">
        <v>382</v>
      </c>
      <c r="D127" s="16" t="s">
        <v>5</v>
      </c>
      <c r="E127" s="15" t="s">
        <v>381</v>
      </c>
      <c r="F127" s="15" t="s">
        <v>383</v>
      </c>
      <c r="G127" s="6">
        <v>94</v>
      </c>
      <c r="H127" s="6">
        <v>99</v>
      </c>
      <c r="I127" s="6">
        <v>95</v>
      </c>
      <c r="J127" s="6">
        <v>93</v>
      </c>
      <c r="K127" s="6">
        <v>92</v>
      </c>
      <c r="L127" s="6">
        <v>95</v>
      </c>
      <c r="M127" s="6">
        <f t="shared" si="0"/>
        <v>568</v>
      </c>
      <c r="N127" s="15">
        <f t="shared" si="15"/>
        <v>284</v>
      </c>
    </row>
    <row r="128" spans="1:14">
      <c r="A128" s="15" t="s">
        <v>133</v>
      </c>
      <c r="B128" s="16" t="s">
        <v>23</v>
      </c>
      <c r="C128" s="15" t="s">
        <v>49</v>
      </c>
      <c r="D128" s="16" t="s">
        <v>5</v>
      </c>
      <c r="E128" s="15" t="s">
        <v>381</v>
      </c>
      <c r="F128" s="15" t="s">
        <v>383</v>
      </c>
      <c r="G128" s="6">
        <v>77</v>
      </c>
      <c r="H128" s="6">
        <v>77</v>
      </c>
      <c r="I128" s="6">
        <v>76</v>
      </c>
      <c r="J128" s="6">
        <v>61</v>
      </c>
      <c r="K128" s="6">
        <v>60</v>
      </c>
      <c r="L128" s="6">
        <v>51</v>
      </c>
      <c r="M128" s="6">
        <f t="shared" si="0"/>
        <v>402</v>
      </c>
      <c r="N128" s="15">
        <f t="shared" si="15"/>
        <v>201</v>
      </c>
    </row>
    <row r="129" spans="1:14">
      <c r="A129" s="15" t="s">
        <v>239</v>
      </c>
      <c r="B129" s="16" t="s">
        <v>23</v>
      </c>
      <c r="C129" s="15" t="s">
        <v>382</v>
      </c>
      <c r="D129" s="16" t="s">
        <v>5</v>
      </c>
      <c r="E129" s="15" t="s">
        <v>381</v>
      </c>
      <c r="F129" s="15" t="s">
        <v>383</v>
      </c>
      <c r="G129" s="6">
        <v>75</v>
      </c>
      <c r="H129" s="6">
        <v>78</v>
      </c>
      <c r="I129" s="6">
        <v>83</v>
      </c>
      <c r="J129" s="6">
        <v>56</v>
      </c>
      <c r="K129" s="6">
        <v>65</v>
      </c>
      <c r="L129" s="6">
        <v>69</v>
      </c>
      <c r="M129" s="6">
        <f t="shared" si="0"/>
        <v>426</v>
      </c>
      <c r="N129" s="15">
        <f t="shared" si="15"/>
        <v>213</v>
      </c>
    </row>
    <row r="130" spans="1:14">
      <c r="A130" s="15" t="s">
        <v>114</v>
      </c>
      <c r="B130" s="16" t="s">
        <v>20</v>
      </c>
      <c r="C130" s="15" t="s">
        <v>49</v>
      </c>
      <c r="D130" s="16" t="s">
        <v>5</v>
      </c>
      <c r="E130" s="15" t="s">
        <v>381</v>
      </c>
      <c r="F130" s="15" t="s">
        <v>383</v>
      </c>
      <c r="G130" s="6">
        <v>89</v>
      </c>
      <c r="H130" s="6">
        <v>88</v>
      </c>
      <c r="I130" s="6">
        <v>81</v>
      </c>
      <c r="J130" s="6">
        <v>88</v>
      </c>
      <c r="K130" s="6">
        <v>77</v>
      </c>
      <c r="L130" s="6">
        <v>66</v>
      </c>
      <c r="M130" s="6">
        <f t="shared" si="0"/>
        <v>489</v>
      </c>
      <c r="N130" s="15">
        <f t="shared" si="15"/>
        <v>244.5</v>
      </c>
    </row>
    <row r="131" spans="1:14">
      <c r="A131" s="15" t="s">
        <v>219</v>
      </c>
      <c r="B131" s="16" t="s">
        <v>20</v>
      </c>
      <c r="C131" s="15" t="s">
        <v>382</v>
      </c>
      <c r="D131" s="16" t="s">
        <v>5</v>
      </c>
      <c r="E131" s="15" t="s">
        <v>381</v>
      </c>
      <c r="F131" s="15" t="s">
        <v>383</v>
      </c>
      <c r="G131" s="6">
        <v>94</v>
      </c>
      <c r="H131" s="6">
        <v>92</v>
      </c>
      <c r="I131" s="6">
        <v>89</v>
      </c>
      <c r="J131" s="6">
        <v>93</v>
      </c>
      <c r="K131" s="6">
        <v>91</v>
      </c>
      <c r="L131" s="6">
        <v>99</v>
      </c>
      <c r="M131" s="6">
        <f t="shared" si="0"/>
        <v>558</v>
      </c>
      <c r="N131" s="15">
        <f t="shared" si="15"/>
        <v>279</v>
      </c>
    </row>
    <row r="132" spans="1:14">
      <c r="A132" s="15" t="s">
        <v>59</v>
      </c>
      <c r="B132" s="16" t="s">
        <v>14</v>
      </c>
      <c r="C132" s="15" t="s">
        <v>49</v>
      </c>
      <c r="D132" s="16" t="s">
        <v>5</v>
      </c>
      <c r="E132" s="15" t="s">
        <v>381</v>
      </c>
      <c r="F132" s="15" t="s">
        <v>383</v>
      </c>
      <c r="G132" s="6">
        <v>98</v>
      </c>
      <c r="H132" s="6">
        <v>98</v>
      </c>
      <c r="I132" s="6">
        <v>99</v>
      </c>
      <c r="J132" s="6">
        <v>97</v>
      </c>
      <c r="K132" s="6">
        <v>99</v>
      </c>
      <c r="L132" s="6">
        <v>98</v>
      </c>
      <c r="M132" s="6">
        <f t="shared" si="0"/>
        <v>589</v>
      </c>
      <c r="N132" s="15">
        <f t="shared" si="15"/>
        <v>294.5</v>
      </c>
    </row>
    <row r="133" spans="1:14">
      <c r="A133" s="15" t="s">
        <v>319</v>
      </c>
      <c r="B133" s="16" t="s">
        <v>14</v>
      </c>
      <c r="C133" s="15" t="s">
        <v>385</v>
      </c>
      <c r="D133" s="16" t="s">
        <v>5</v>
      </c>
      <c r="E133" s="15" t="s">
        <v>381</v>
      </c>
      <c r="F133" s="15" t="s">
        <v>383</v>
      </c>
      <c r="G133" s="6">
        <v>84</v>
      </c>
      <c r="H133" s="6">
        <v>82</v>
      </c>
      <c r="I133" s="6">
        <v>94</v>
      </c>
      <c r="J133" s="6">
        <v>71</v>
      </c>
      <c r="K133" s="6">
        <v>77</v>
      </c>
      <c r="L133" s="6">
        <v>90</v>
      </c>
      <c r="M133" s="6">
        <f t="shared" si="0"/>
        <v>498</v>
      </c>
      <c r="N133" s="15">
        <f t="shared" si="15"/>
        <v>249</v>
      </c>
    </row>
    <row r="134" spans="1:14">
      <c r="A134" s="15" t="s">
        <v>74</v>
      </c>
      <c r="B134" s="16" t="s">
        <v>21</v>
      </c>
      <c r="C134" s="15" t="s">
        <v>49</v>
      </c>
      <c r="D134" s="16" t="s">
        <v>5</v>
      </c>
      <c r="E134" s="15" t="s">
        <v>381</v>
      </c>
      <c r="F134" s="15" t="s">
        <v>383</v>
      </c>
      <c r="G134" s="6">
        <v>90</v>
      </c>
      <c r="H134" s="6">
        <v>85</v>
      </c>
      <c r="I134" s="6">
        <v>91</v>
      </c>
      <c r="J134" s="6">
        <v>97</v>
      </c>
      <c r="K134" s="6">
        <v>90</v>
      </c>
      <c r="L134" s="6">
        <v>90</v>
      </c>
      <c r="M134" s="6">
        <f t="shared" si="0"/>
        <v>543</v>
      </c>
      <c r="N134" s="15">
        <f t="shared" si="15"/>
        <v>271.5</v>
      </c>
    </row>
    <row r="135" spans="1:14">
      <c r="A135" s="15" t="s">
        <v>225</v>
      </c>
      <c r="B135" s="16" t="s">
        <v>22</v>
      </c>
      <c r="C135" s="15" t="s">
        <v>382</v>
      </c>
      <c r="D135" s="16" t="s">
        <v>5</v>
      </c>
      <c r="E135" s="15" t="s">
        <v>381</v>
      </c>
      <c r="F135" s="15" t="s">
        <v>383</v>
      </c>
      <c r="G135" s="6">
        <v>66</v>
      </c>
      <c r="H135" s="6">
        <v>75</v>
      </c>
      <c r="I135" s="6">
        <v>72</v>
      </c>
      <c r="J135" s="6">
        <v>36</v>
      </c>
      <c r="K135" s="6">
        <v>29</v>
      </c>
      <c r="L135" s="6">
        <v>21</v>
      </c>
      <c r="M135" s="6">
        <f t="shared" si="0"/>
        <v>299</v>
      </c>
      <c r="N135" s="15">
        <f t="shared" si="15"/>
        <v>149.5</v>
      </c>
    </row>
    <row r="136" spans="1:14">
      <c r="A136" s="15" t="s">
        <v>76</v>
      </c>
      <c r="B136" s="16" t="s">
        <v>22</v>
      </c>
      <c r="C136" s="15" t="s">
        <v>49</v>
      </c>
      <c r="D136" s="16" t="s">
        <v>5</v>
      </c>
      <c r="E136" s="15" t="s">
        <v>381</v>
      </c>
      <c r="F136" s="15" t="s">
        <v>383</v>
      </c>
      <c r="G136" s="6">
        <v>79</v>
      </c>
      <c r="H136" s="6">
        <v>89</v>
      </c>
      <c r="I136" s="6">
        <v>84</v>
      </c>
      <c r="J136" s="6">
        <v>71</v>
      </c>
      <c r="K136" s="6">
        <v>93</v>
      </c>
      <c r="L136" s="6">
        <v>89</v>
      </c>
      <c r="M136" s="6">
        <f t="shared" si="0"/>
        <v>505</v>
      </c>
      <c r="N136" s="15">
        <f t="shared" si="15"/>
        <v>252.5</v>
      </c>
    </row>
    <row r="137" spans="1:14">
      <c r="A137" s="15" t="s">
        <v>67</v>
      </c>
      <c r="B137" s="16" t="s">
        <v>15</v>
      </c>
      <c r="C137" s="15" t="s">
        <v>49</v>
      </c>
      <c r="D137" s="16" t="s">
        <v>5</v>
      </c>
      <c r="E137" s="15" t="s">
        <v>381</v>
      </c>
      <c r="F137" s="15" t="s">
        <v>52</v>
      </c>
      <c r="G137" s="6">
        <v>93</v>
      </c>
      <c r="H137" s="6">
        <v>95</v>
      </c>
      <c r="I137" s="6">
        <v>96</v>
      </c>
      <c r="J137" s="6">
        <v>96</v>
      </c>
      <c r="K137" s="6">
        <v>97</v>
      </c>
      <c r="L137" s="6">
        <v>100</v>
      </c>
      <c r="M137" s="6">
        <f t="shared" si="0"/>
        <v>577</v>
      </c>
      <c r="N137" s="15">
        <f t="shared" si="15"/>
        <v>288.5</v>
      </c>
    </row>
    <row r="138" spans="1:14">
      <c r="A138" s="15" t="s">
        <v>69</v>
      </c>
      <c r="B138" s="16" t="s">
        <v>19</v>
      </c>
      <c r="C138" s="15" t="s">
        <v>49</v>
      </c>
      <c r="D138" s="15" t="s">
        <v>5</v>
      </c>
      <c r="E138" s="15" t="s">
        <v>381</v>
      </c>
      <c r="F138" s="15" t="s">
        <v>383</v>
      </c>
      <c r="G138" s="6">
        <v>94</v>
      </c>
      <c r="H138" s="6">
        <v>99</v>
      </c>
      <c r="I138" s="6">
        <v>92</v>
      </c>
      <c r="J138" s="6">
        <v>87</v>
      </c>
      <c r="K138" s="6">
        <v>90</v>
      </c>
      <c r="L138" s="6">
        <v>93</v>
      </c>
      <c r="M138" s="6">
        <f t="shared" si="0"/>
        <v>555</v>
      </c>
      <c r="N138" s="15">
        <f t="shared" si="15"/>
        <v>277.5</v>
      </c>
    </row>
    <row r="139" spans="1:14">
      <c r="A139" s="15" t="s">
        <v>253</v>
      </c>
      <c r="B139" s="16" t="s">
        <v>19</v>
      </c>
      <c r="C139" s="15" t="s">
        <v>385</v>
      </c>
      <c r="D139" s="15" t="s">
        <v>5</v>
      </c>
      <c r="E139" s="15" t="s">
        <v>381</v>
      </c>
      <c r="F139" s="15" t="s">
        <v>383</v>
      </c>
      <c r="G139" s="6">
        <v>93</v>
      </c>
      <c r="H139" s="6">
        <v>94</v>
      </c>
      <c r="I139" s="6">
        <v>95</v>
      </c>
      <c r="J139" s="6">
        <v>99</v>
      </c>
      <c r="K139" s="6">
        <v>95</v>
      </c>
      <c r="L139" s="6">
        <v>98</v>
      </c>
      <c r="M139" s="6">
        <f t="shared" si="0"/>
        <v>574</v>
      </c>
      <c r="N139" s="15">
        <f t="shared" si="15"/>
        <v>287</v>
      </c>
    </row>
    <row r="140" spans="1:14">
      <c r="A140" s="15" t="s">
        <v>58</v>
      </c>
      <c r="B140" s="16" t="s">
        <v>13</v>
      </c>
      <c r="C140" s="15" t="s">
        <v>49</v>
      </c>
      <c r="D140" s="16" t="s">
        <v>6</v>
      </c>
      <c r="E140" s="15" t="s">
        <v>381</v>
      </c>
      <c r="F140" s="15" t="s">
        <v>52</v>
      </c>
      <c r="G140" s="6">
        <v>94</v>
      </c>
      <c r="H140" s="6">
        <v>92</v>
      </c>
      <c r="I140" s="6">
        <v>92</v>
      </c>
      <c r="M140" s="6">
        <f t="shared" si="0"/>
        <v>278</v>
      </c>
      <c r="N140" s="15">
        <f t="shared" ref="N140:N147" si="16">M140</f>
        <v>278</v>
      </c>
    </row>
    <row r="141" spans="1:14">
      <c r="A141" s="15" t="s">
        <v>304</v>
      </c>
      <c r="B141" s="16" t="s">
        <v>13</v>
      </c>
      <c r="C141" s="15" t="s">
        <v>384</v>
      </c>
      <c r="D141" s="16" t="s">
        <v>6</v>
      </c>
      <c r="E141" s="15" t="s">
        <v>381</v>
      </c>
      <c r="F141" s="15" t="s">
        <v>52</v>
      </c>
      <c r="G141" s="6">
        <v>84</v>
      </c>
      <c r="H141" s="6">
        <v>85</v>
      </c>
      <c r="I141" s="6">
        <v>83</v>
      </c>
      <c r="M141" s="6">
        <f t="shared" si="0"/>
        <v>252</v>
      </c>
      <c r="N141" s="15">
        <f t="shared" si="16"/>
        <v>252</v>
      </c>
    </row>
    <row r="142" spans="1:14">
      <c r="A142" s="15" t="s">
        <v>331</v>
      </c>
      <c r="B142" s="16" t="s">
        <v>13</v>
      </c>
      <c r="C142" s="15" t="s">
        <v>385</v>
      </c>
      <c r="D142" s="16" t="s">
        <v>6</v>
      </c>
      <c r="E142" s="15" t="s">
        <v>381</v>
      </c>
      <c r="F142" s="15" t="s">
        <v>52</v>
      </c>
      <c r="G142" s="6">
        <v>86</v>
      </c>
      <c r="H142" s="6">
        <v>93</v>
      </c>
      <c r="I142" s="6">
        <v>95</v>
      </c>
      <c r="M142" s="6">
        <f t="shared" si="0"/>
        <v>274</v>
      </c>
      <c r="N142" s="15">
        <f t="shared" si="16"/>
        <v>274</v>
      </c>
    </row>
    <row r="143" spans="1:14">
      <c r="A143" s="15" t="s">
        <v>220</v>
      </c>
      <c r="B143" s="16" t="s">
        <v>13</v>
      </c>
      <c r="C143" s="15" t="s">
        <v>382</v>
      </c>
      <c r="D143" s="16" t="s">
        <v>6</v>
      </c>
      <c r="E143" s="15" t="s">
        <v>381</v>
      </c>
      <c r="F143" s="15" t="s">
        <v>52</v>
      </c>
      <c r="G143" s="6">
        <v>91</v>
      </c>
      <c r="H143" s="6">
        <v>96</v>
      </c>
      <c r="I143" s="6">
        <v>92</v>
      </c>
      <c r="M143" s="6">
        <f t="shared" si="0"/>
        <v>279</v>
      </c>
      <c r="N143" s="15">
        <f t="shared" si="16"/>
        <v>279</v>
      </c>
    </row>
    <row r="144" spans="1:14">
      <c r="A144" s="15" t="s">
        <v>151</v>
      </c>
      <c r="B144" s="16" t="s">
        <v>16</v>
      </c>
      <c r="C144" s="15" t="s">
        <v>49</v>
      </c>
      <c r="D144" s="16" t="s">
        <v>6</v>
      </c>
      <c r="E144" s="15" t="s">
        <v>381</v>
      </c>
      <c r="F144" s="15" t="s">
        <v>52</v>
      </c>
      <c r="G144" s="6">
        <v>97</v>
      </c>
      <c r="H144" s="6">
        <v>99</v>
      </c>
      <c r="I144" s="6">
        <v>91</v>
      </c>
      <c r="M144" s="6">
        <f t="shared" si="0"/>
        <v>287</v>
      </c>
      <c r="N144" s="15">
        <f t="shared" si="16"/>
        <v>287</v>
      </c>
    </row>
    <row r="145" spans="1:14">
      <c r="A145" s="15" t="s">
        <v>261</v>
      </c>
      <c r="B145" s="16" t="s">
        <v>16</v>
      </c>
      <c r="C145" s="15" t="s">
        <v>382</v>
      </c>
      <c r="D145" s="16" t="s">
        <v>6</v>
      </c>
      <c r="E145" s="15" t="s">
        <v>381</v>
      </c>
      <c r="F145" s="15" t="s">
        <v>52</v>
      </c>
      <c r="G145" s="6">
        <v>87</v>
      </c>
      <c r="H145" s="6">
        <v>79</v>
      </c>
      <c r="I145" s="6">
        <v>90</v>
      </c>
      <c r="M145" s="6">
        <f t="shared" si="0"/>
        <v>256</v>
      </c>
      <c r="N145" s="15">
        <f t="shared" si="16"/>
        <v>256</v>
      </c>
    </row>
    <row r="146" spans="1:14">
      <c r="A146" s="15" t="s">
        <v>302</v>
      </c>
      <c r="B146" s="16" t="s">
        <v>16</v>
      </c>
      <c r="C146" s="15" t="s">
        <v>384</v>
      </c>
      <c r="D146" s="16" t="s">
        <v>6</v>
      </c>
      <c r="E146" s="15" t="s">
        <v>381</v>
      </c>
      <c r="F146" s="15" t="s">
        <v>52</v>
      </c>
      <c r="G146" s="6">
        <v>78</v>
      </c>
      <c r="H146" s="6">
        <v>92</v>
      </c>
      <c r="I146" s="6">
        <v>91</v>
      </c>
      <c r="M146" s="6">
        <f t="shared" si="0"/>
        <v>261</v>
      </c>
      <c r="N146" s="15">
        <f t="shared" si="16"/>
        <v>261</v>
      </c>
    </row>
    <row r="147" spans="1:14">
      <c r="A147" s="15" t="s">
        <v>341</v>
      </c>
      <c r="B147" s="16" t="s">
        <v>16</v>
      </c>
      <c r="C147" s="15" t="s">
        <v>385</v>
      </c>
      <c r="D147" s="16" t="s">
        <v>6</v>
      </c>
      <c r="E147" s="15" t="s">
        <v>381</v>
      </c>
      <c r="F147" s="15" t="s">
        <v>52</v>
      </c>
      <c r="G147" s="6">
        <v>54</v>
      </c>
      <c r="H147" s="6">
        <v>62</v>
      </c>
      <c r="I147" s="6">
        <v>54</v>
      </c>
      <c r="M147" s="6">
        <f t="shared" si="0"/>
        <v>170</v>
      </c>
      <c r="N147" s="15">
        <f t="shared" si="16"/>
        <v>170</v>
      </c>
    </row>
    <row r="148" spans="1:14">
      <c r="A148" s="15" t="s">
        <v>187</v>
      </c>
      <c r="B148" s="16" t="s">
        <v>16</v>
      </c>
      <c r="C148" s="15" t="s">
        <v>49</v>
      </c>
      <c r="D148" s="16" t="s">
        <v>6</v>
      </c>
      <c r="E148" s="15" t="s">
        <v>51</v>
      </c>
      <c r="F148" s="15" t="s">
        <v>52</v>
      </c>
      <c r="G148" s="6">
        <v>66</v>
      </c>
      <c r="H148" s="6">
        <v>75</v>
      </c>
      <c r="I148" s="6">
        <v>73</v>
      </c>
      <c r="M148" s="6">
        <f t="shared" si="0"/>
        <v>214</v>
      </c>
      <c r="N148" s="15"/>
    </row>
    <row r="149" spans="1:14">
      <c r="A149" s="15" t="s">
        <v>307</v>
      </c>
      <c r="B149" s="16" t="s">
        <v>16</v>
      </c>
      <c r="C149" s="15" t="s">
        <v>384</v>
      </c>
      <c r="D149" s="16" t="s">
        <v>6</v>
      </c>
      <c r="E149" s="15" t="s">
        <v>51</v>
      </c>
      <c r="F149" s="15" t="s">
        <v>52</v>
      </c>
      <c r="G149" s="6">
        <v>69</v>
      </c>
      <c r="H149" s="6">
        <v>66</v>
      </c>
      <c r="I149" s="6">
        <v>87</v>
      </c>
      <c r="M149" s="6">
        <f t="shared" si="0"/>
        <v>222</v>
      </c>
      <c r="N149" s="15"/>
    </row>
    <row r="150" spans="1:14">
      <c r="A150" s="15" t="s">
        <v>80</v>
      </c>
      <c r="B150" s="16" t="s">
        <v>25</v>
      </c>
      <c r="C150" s="15" t="s">
        <v>49</v>
      </c>
      <c r="D150" s="16" t="s">
        <v>6</v>
      </c>
      <c r="E150" s="15" t="s">
        <v>51</v>
      </c>
      <c r="F150" s="15" t="s">
        <v>52</v>
      </c>
      <c r="G150" s="6">
        <v>87</v>
      </c>
      <c r="H150" s="6">
        <v>83</v>
      </c>
      <c r="I150" s="6">
        <v>84</v>
      </c>
      <c r="M150" s="6">
        <f t="shared" si="0"/>
        <v>254</v>
      </c>
      <c r="N150" s="15"/>
    </row>
    <row r="151" spans="1:14">
      <c r="A151" s="15" t="s">
        <v>123</v>
      </c>
      <c r="B151" s="16" t="s">
        <v>25</v>
      </c>
      <c r="C151" s="15" t="s">
        <v>49</v>
      </c>
      <c r="D151" s="16" t="s">
        <v>6</v>
      </c>
      <c r="E151" s="15" t="s">
        <v>381</v>
      </c>
      <c r="F151" s="15" t="s">
        <v>52</v>
      </c>
      <c r="G151" s="6">
        <v>75</v>
      </c>
      <c r="H151" s="6">
        <v>73</v>
      </c>
      <c r="I151" s="6">
        <v>75</v>
      </c>
      <c r="M151" s="6">
        <f t="shared" si="0"/>
        <v>223</v>
      </c>
      <c r="N151" s="15">
        <f t="shared" ref="N151:N160" si="17">M151</f>
        <v>223</v>
      </c>
    </row>
    <row r="152" spans="1:14">
      <c r="A152" s="15" t="s">
        <v>215</v>
      </c>
      <c r="B152" s="16" t="s">
        <v>25</v>
      </c>
      <c r="C152" s="15" t="s">
        <v>382</v>
      </c>
      <c r="D152" s="16" t="s">
        <v>6</v>
      </c>
      <c r="E152" s="15" t="s">
        <v>381</v>
      </c>
      <c r="F152" s="15" t="s">
        <v>52</v>
      </c>
      <c r="G152" s="6">
        <v>63</v>
      </c>
      <c r="H152" s="6">
        <v>89</v>
      </c>
      <c r="I152" s="6">
        <v>84</v>
      </c>
      <c r="M152" s="6">
        <f t="shared" si="0"/>
        <v>236</v>
      </c>
      <c r="N152" s="15">
        <f t="shared" si="17"/>
        <v>236</v>
      </c>
    </row>
    <row r="153" spans="1:14">
      <c r="A153" s="15" t="s">
        <v>163</v>
      </c>
      <c r="B153" s="16" t="s">
        <v>18</v>
      </c>
      <c r="C153" s="15" t="s">
        <v>49</v>
      </c>
      <c r="D153" s="16" t="s">
        <v>6</v>
      </c>
      <c r="E153" s="15" t="s">
        <v>381</v>
      </c>
      <c r="F153" s="15" t="s">
        <v>52</v>
      </c>
      <c r="G153" s="6">
        <v>84</v>
      </c>
      <c r="H153" s="6">
        <v>90</v>
      </c>
      <c r="I153" s="6">
        <v>89</v>
      </c>
      <c r="M153" s="6">
        <f t="shared" si="0"/>
        <v>263</v>
      </c>
      <c r="N153" s="15">
        <f t="shared" si="17"/>
        <v>263</v>
      </c>
    </row>
    <row r="154" spans="1:14">
      <c r="A154" s="15" t="s">
        <v>338</v>
      </c>
      <c r="B154" s="16" t="s">
        <v>17</v>
      </c>
      <c r="C154" s="15" t="s">
        <v>385</v>
      </c>
      <c r="D154" s="16" t="s">
        <v>6</v>
      </c>
      <c r="E154" s="15" t="s">
        <v>381</v>
      </c>
      <c r="F154" s="15" t="s">
        <v>52</v>
      </c>
      <c r="G154" s="6">
        <v>79</v>
      </c>
      <c r="H154" s="6">
        <v>72</v>
      </c>
      <c r="I154" s="6">
        <v>79</v>
      </c>
      <c r="M154" s="6">
        <f t="shared" si="0"/>
        <v>230</v>
      </c>
      <c r="N154" s="15">
        <f t="shared" si="17"/>
        <v>230</v>
      </c>
    </row>
    <row r="155" spans="1:14">
      <c r="A155" s="15" t="s">
        <v>232</v>
      </c>
      <c r="B155" s="16" t="s">
        <v>17</v>
      </c>
      <c r="C155" s="15" t="s">
        <v>382</v>
      </c>
      <c r="D155" s="16" t="s">
        <v>6</v>
      </c>
      <c r="E155" s="15" t="s">
        <v>381</v>
      </c>
      <c r="F155" s="15" t="s">
        <v>52</v>
      </c>
      <c r="G155" s="6">
        <v>72</v>
      </c>
      <c r="H155" s="6">
        <v>73</v>
      </c>
      <c r="I155" s="6">
        <v>72</v>
      </c>
      <c r="M155" s="6">
        <f t="shared" si="0"/>
        <v>217</v>
      </c>
      <c r="N155" s="15">
        <f t="shared" si="17"/>
        <v>217</v>
      </c>
    </row>
    <row r="156" spans="1:14">
      <c r="A156" s="15" t="s">
        <v>109</v>
      </c>
      <c r="B156" s="16" t="s">
        <v>17</v>
      </c>
      <c r="C156" s="15" t="s">
        <v>49</v>
      </c>
      <c r="D156" s="16" t="s">
        <v>6</v>
      </c>
      <c r="E156" s="15" t="s">
        <v>381</v>
      </c>
      <c r="F156" s="15" t="s">
        <v>52</v>
      </c>
      <c r="G156" s="6">
        <v>83</v>
      </c>
      <c r="H156" s="6">
        <v>87</v>
      </c>
      <c r="I156" s="6">
        <v>81</v>
      </c>
      <c r="M156" s="6">
        <f t="shared" si="0"/>
        <v>251</v>
      </c>
      <c r="N156" s="15">
        <f t="shared" si="17"/>
        <v>251</v>
      </c>
    </row>
    <row r="157" spans="1:14">
      <c r="A157" s="15" t="s">
        <v>285</v>
      </c>
      <c r="B157" s="16" t="s">
        <v>17</v>
      </c>
      <c r="C157" s="15" t="s">
        <v>384</v>
      </c>
      <c r="D157" s="16" t="s">
        <v>6</v>
      </c>
      <c r="E157" s="15" t="s">
        <v>381</v>
      </c>
      <c r="F157" s="15" t="s">
        <v>52</v>
      </c>
      <c r="G157" s="6">
        <v>74</v>
      </c>
      <c r="H157" s="6">
        <v>55</v>
      </c>
      <c r="I157" s="6">
        <v>61</v>
      </c>
      <c r="M157" s="6">
        <f t="shared" si="0"/>
        <v>190</v>
      </c>
      <c r="N157" s="15">
        <f t="shared" si="17"/>
        <v>190</v>
      </c>
    </row>
    <row r="158" spans="1:14">
      <c r="A158" s="15" t="s">
        <v>95</v>
      </c>
      <c r="B158" s="16" t="s">
        <v>26</v>
      </c>
      <c r="C158" s="15" t="s">
        <v>49</v>
      </c>
      <c r="D158" s="16" t="s">
        <v>6</v>
      </c>
      <c r="E158" s="15" t="s">
        <v>381</v>
      </c>
      <c r="F158" s="15" t="s">
        <v>52</v>
      </c>
      <c r="G158" s="6">
        <v>93</v>
      </c>
      <c r="H158" s="6">
        <v>93</v>
      </c>
      <c r="I158" s="6">
        <v>94</v>
      </c>
      <c r="M158" s="6">
        <f t="shared" si="0"/>
        <v>280</v>
      </c>
      <c r="N158" s="15">
        <f t="shared" si="17"/>
        <v>280</v>
      </c>
    </row>
    <row r="159" spans="1:14">
      <c r="A159" s="15" t="s">
        <v>229</v>
      </c>
      <c r="B159" s="16" t="s">
        <v>26</v>
      </c>
      <c r="C159" s="15" t="s">
        <v>382</v>
      </c>
      <c r="D159" s="16" t="s">
        <v>6</v>
      </c>
      <c r="E159" s="15" t="s">
        <v>381</v>
      </c>
      <c r="F159" s="15" t="s">
        <v>52</v>
      </c>
      <c r="G159" s="6">
        <v>90</v>
      </c>
      <c r="H159" s="6">
        <v>84</v>
      </c>
      <c r="I159" s="6">
        <v>89</v>
      </c>
      <c r="M159" s="6">
        <f t="shared" si="0"/>
        <v>263</v>
      </c>
      <c r="N159" s="15">
        <f t="shared" si="17"/>
        <v>263</v>
      </c>
    </row>
    <row r="160" spans="1:14">
      <c r="A160" s="15" t="s">
        <v>334</v>
      </c>
      <c r="B160" s="16" t="s">
        <v>15</v>
      </c>
      <c r="C160" s="15" t="s">
        <v>385</v>
      </c>
      <c r="D160" s="16" t="s">
        <v>6</v>
      </c>
      <c r="E160" s="15" t="s">
        <v>381</v>
      </c>
      <c r="F160" s="15" t="s">
        <v>52</v>
      </c>
      <c r="G160" s="6">
        <v>85</v>
      </c>
      <c r="H160" s="6">
        <v>77</v>
      </c>
      <c r="I160" s="6">
        <v>90</v>
      </c>
      <c r="M160" s="6">
        <f t="shared" si="0"/>
        <v>252</v>
      </c>
      <c r="N160" s="15">
        <f t="shared" si="17"/>
        <v>252</v>
      </c>
    </row>
    <row r="161" spans="1:14">
      <c r="A161" s="15" t="s">
        <v>301</v>
      </c>
      <c r="B161" s="16" t="s">
        <v>15</v>
      </c>
      <c r="C161" s="15" t="s">
        <v>384</v>
      </c>
      <c r="D161" s="16" t="s">
        <v>6</v>
      </c>
      <c r="E161" s="15" t="s">
        <v>51</v>
      </c>
      <c r="F161" s="15" t="s">
        <v>52</v>
      </c>
      <c r="G161" s="6">
        <v>92</v>
      </c>
      <c r="H161" s="6">
        <v>88</v>
      </c>
      <c r="I161" s="6">
        <v>89</v>
      </c>
      <c r="M161" s="6">
        <f t="shared" si="0"/>
        <v>269</v>
      </c>
      <c r="N161" s="15"/>
    </row>
    <row r="162" spans="1:14">
      <c r="A162" s="15" t="s">
        <v>280</v>
      </c>
      <c r="B162" s="16" t="s">
        <v>15</v>
      </c>
      <c r="C162" s="15" t="s">
        <v>384</v>
      </c>
      <c r="D162" s="16" t="s">
        <v>6</v>
      </c>
      <c r="E162" s="15" t="s">
        <v>381</v>
      </c>
      <c r="F162" s="15" t="s">
        <v>52</v>
      </c>
      <c r="G162" s="6">
        <v>90</v>
      </c>
      <c r="H162" s="6">
        <v>90</v>
      </c>
      <c r="I162" s="6">
        <v>94</v>
      </c>
      <c r="M162" s="6">
        <f t="shared" si="0"/>
        <v>274</v>
      </c>
      <c r="N162" s="15">
        <f>M162</f>
        <v>274</v>
      </c>
    </row>
    <row r="163" spans="1:14">
      <c r="A163" s="15" t="s">
        <v>81</v>
      </c>
      <c r="B163" s="16" t="s">
        <v>15</v>
      </c>
      <c r="C163" s="15" t="s">
        <v>49</v>
      </c>
      <c r="D163" s="16" t="s">
        <v>6</v>
      </c>
      <c r="E163" s="15" t="s">
        <v>51</v>
      </c>
      <c r="F163" s="15" t="s">
        <v>52</v>
      </c>
      <c r="G163" s="6">
        <v>89</v>
      </c>
      <c r="H163" s="6">
        <v>89</v>
      </c>
      <c r="I163" s="6">
        <v>93</v>
      </c>
      <c r="M163" s="6">
        <f t="shared" si="0"/>
        <v>271</v>
      </c>
      <c r="N163" s="15"/>
    </row>
    <row r="164" spans="1:14">
      <c r="A164" s="15" t="s">
        <v>264</v>
      </c>
      <c r="B164" s="16" t="s">
        <v>15</v>
      </c>
      <c r="C164" s="15" t="s">
        <v>382</v>
      </c>
      <c r="D164" s="16" t="s">
        <v>6</v>
      </c>
      <c r="E164" s="15" t="s">
        <v>381</v>
      </c>
      <c r="F164" s="15" t="s">
        <v>52</v>
      </c>
      <c r="G164" s="6">
        <v>79</v>
      </c>
      <c r="H164" s="6">
        <v>86</v>
      </c>
      <c r="I164" s="6">
        <v>89</v>
      </c>
      <c r="M164" s="6">
        <f t="shared" si="0"/>
        <v>254</v>
      </c>
      <c r="N164" s="15">
        <f t="shared" ref="N164:N166" si="18">M164</f>
        <v>254</v>
      </c>
    </row>
    <row r="165" spans="1:14">
      <c r="A165" s="15" t="s">
        <v>227</v>
      </c>
      <c r="B165" s="16" t="s">
        <v>28</v>
      </c>
      <c r="C165" s="15" t="s">
        <v>382</v>
      </c>
      <c r="D165" s="16" t="s">
        <v>6</v>
      </c>
      <c r="E165" s="15" t="s">
        <v>381</v>
      </c>
      <c r="F165" s="15" t="s">
        <v>52</v>
      </c>
      <c r="G165" s="6">
        <v>94</v>
      </c>
      <c r="H165" s="6">
        <v>93</v>
      </c>
      <c r="I165" s="6">
        <v>91</v>
      </c>
      <c r="M165" s="6">
        <f t="shared" si="0"/>
        <v>278</v>
      </c>
      <c r="N165" s="15">
        <f t="shared" si="18"/>
        <v>278</v>
      </c>
    </row>
    <row r="166" spans="1:14">
      <c r="A166" s="15" t="s">
        <v>155</v>
      </c>
      <c r="B166" s="16" t="s">
        <v>15</v>
      </c>
      <c r="C166" s="15" t="s">
        <v>49</v>
      </c>
      <c r="D166" s="16" t="s">
        <v>6</v>
      </c>
      <c r="E166" s="15" t="s">
        <v>381</v>
      </c>
      <c r="F166" s="15" t="s">
        <v>52</v>
      </c>
      <c r="G166" s="6">
        <v>92</v>
      </c>
      <c r="H166" s="6">
        <v>91</v>
      </c>
      <c r="I166" s="6">
        <v>89</v>
      </c>
      <c r="M166" s="6">
        <f t="shared" si="0"/>
        <v>272</v>
      </c>
      <c r="N166" s="15">
        <f t="shared" si="18"/>
        <v>272</v>
      </c>
    </row>
    <row r="167" spans="1:14">
      <c r="A167" s="15" t="s">
        <v>58</v>
      </c>
      <c r="B167" s="16" t="s">
        <v>13</v>
      </c>
      <c r="C167" s="15" t="s">
        <v>49</v>
      </c>
      <c r="D167" s="15" t="s">
        <v>7</v>
      </c>
      <c r="E167" s="15" t="s">
        <v>51</v>
      </c>
      <c r="F167" s="15" t="s">
        <v>52</v>
      </c>
      <c r="G167" s="6">
        <v>87</v>
      </c>
      <c r="H167" s="6">
        <v>86</v>
      </c>
      <c r="I167" s="6">
        <v>91</v>
      </c>
      <c r="M167" s="6">
        <f t="shared" si="0"/>
        <v>264</v>
      </c>
      <c r="N167" s="15"/>
    </row>
    <row r="168" spans="1:14">
      <c r="A168" s="15" t="s">
        <v>60</v>
      </c>
      <c r="B168" s="16" t="s">
        <v>13</v>
      </c>
      <c r="C168" s="15" t="s">
        <v>49</v>
      </c>
      <c r="D168" s="15" t="s">
        <v>7</v>
      </c>
      <c r="E168" s="15" t="s">
        <v>51</v>
      </c>
      <c r="F168" s="15" t="s">
        <v>52</v>
      </c>
      <c r="G168" s="6">
        <v>91</v>
      </c>
      <c r="H168" s="6">
        <v>86</v>
      </c>
      <c r="I168" s="6">
        <v>89</v>
      </c>
      <c r="M168" s="6">
        <f t="shared" si="0"/>
        <v>266</v>
      </c>
      <c r="N168" s="15"/>
    </row>
    <row r="169" spans="1:14">
      <c r="A169" s="15" t="s">
        <v>56</v>
      </c>
      <c r="B169" s="16" t="s">
        <v>13</v>
      </c>
      <c r="C169" s="15" t="s">
        <v>49</v>
      </c>
      <c r="D169" s="15" t="s">
        <v>7</v>
      </c>
      <c r="E169" s="15" t="s">
        <v>51</v>
      </c>
      <c r="F169" s="15" t="s">
        <v>52</v>
      </c>
      <c r="G169" s="6">
        <v>85</v>
      </c>
      <c r="H169" s="6">
        <v>85</v>
      </c>
      <c r="I169" s="6">
        <v>92</v>
      </c>
      <c r="M169" s="6">
        <f t="shared" si="0"/>
        <v>262</v>
      </c>
      <c r="N169" s="15"/>
    </row>
    <row r="170" spans="1:14">
      <c r="A170" s="15" t="s">
        <v>63</v>
      </c>
      <c r="B170" s="16" t="s">
        <v>13</v>
      </c>
      <c r="C170" s="15" t="s">
        <v>49</v>
      </c>
      <c r="D170" s="15" t="s">
        <v>7</v>
      </c>
      <c r="E170" s="15" t="s">
        <v>51</v>
      </c>
      <c r="F170" s="15" t="s">
        <v>52</v>
      </c>
      <c r="G170" s="6">
        <v>90</v>
      </c>
      <c r="H170" s="6">
        <v>89</v>
      </c>
      <c r="I170" s="6">
        <v>86</v>
      </c>
      <c r="M170" s="6">
        <f t="shared" si="0"/>
        <v>265</v>
      </c>
      <c r="N170" s="15"/>
    </row>
    <row r="171" spans="1:14">
      <c r="A171" s="15" t="s">
        <v>204</v>
      </c>
      <c r="B171" s="16" t="s">
        <v>24</v>
      </c>
      <c r="C171" s="15" t="s">
        <v>382</v>
      </c>
      <c r="D171" s="15" t="s">
        <v>6</v>
      </c>
      <c r="E171" s="15" t="s">
        <v>51</v>
      </c>
      <c r="F171" s="15" t="s">
        <v>383</v>
      </c>
      <c r="G171" s="6">
        <v>88</v>
      </c>
      <c r="H171" s="6">
        <v>90</v>
      </c>
      <c r="I171" s="6">
        <v>93</v>
      </c>
      <c r="M171" s="6">
        <f t="shared" si="0"/>
        <v>271</v>
      </c>
      <c r="N171" s="15"/>
    </row>
    <row r="172" spans="1:14">
      <c r="A172" s="15" t="s">
        <v>274</v>
      </c>
      <c r="B172" s="16" t="s">
        <v>24</v>
      </c>
      <c r="C172" s="15" t="s">
        <v>382</v>
      </c>
      <c r="D172" s="15" t="s">
        <v>6</v>
      </c>
      <c r="E172" s="15" t="s">
        <v>381</v>
      </c>
      <c r="F172" s="15" t="s">
        <v>383</v>
      </c>
      <c r="G172" s="6">
        <v>72</v>
      </c>
      <c r="H172" s="6">
        <v>71</v>
      </c>
      <c r="I172" s="6">
        <v>49</v>
      </c>
      <c r="M172" s="6">
        <f t="shared" si="0"/>
        <v>192</v>
      </c>
      <c r="N172" s="15">
        <f t="shared" ref="N172:N186" si="19">M172</f>
        <v>192</v>
      </c>
    </row>
    <row r="173" spans="1:14">
      <c r="A173" s="15" t="s">
        <v>335</v>
      </c>
      <c r="B173" s="16" t="s">
        <v>18</v>
      </c>
      <c r="C173" s="15" t="s">
        <v>385</v>
      </c>
      <c r="D173" s="15" t="s">
        <v>6</v>
      </c>
      <c r="E173" s="15" t="s">
        <v>381</v>
      </c>
      <c r="F173" s="15" t="s">
        <v>383</v>
      </c>
      <c r="G173" s="6">
        <v>81</v>
      </c>
      <c r="H173" s="6">
        <v>80</v>
      </c>
      <c r="I173" s="6">
        <v>82</v>
      </c>
      <c r="M173" s="6">
        <f t="shared" si="0"/>
        <v>243</v>
      </c>
      <c r="N173" s="15">
        <f t="shared" si="19"/>
        <v>243</v>
      </c>
    </row>
    <row r="174" spans="1:14">
      <c r="A174" s="15" t="s">
        <v>228</v>
      </c>
      <c r="B174" s="16" t="s">
        <v>18</v>
      </c>
      <c r="C174" s="15" t="s">
        <v>382</v>
      </c>
      <c r="D174" s="15" t="s">
        <v>6</v>
      </c>
      <c r="E174" s="15" t="s">
        <v>381</v>
      </c>
      <c r="F174" s="15" t="s">
        <v>383</v>
      </c>
      <c r="G174" s="6">
        <v>86</v>
      </c>
      <c r="H174" s="6">
        <v>86</v>
      </c>
      <c r="I174" s="6">
        <v>89</v>
      </c>
      <c r="M174" s="6">
        <f t="shared" si="0"/>
        <v>261</v>
      </c>
      <c r="N174" s="15">
        <f t="shared" si="19"/>
        <v>261</v>
      </c>
    </row>
    <row r="175" spans="1:14">
      <c r="A175" s="15" t="s">
        <v>305</v>
      </c>
      <c r="B175" s="16" t="s">
        <v>23</v>
      </c>
      <c r="C175" s="15" t="s">
        <v>384</v>
      </c>
      <c r="D175" s="15" t="s">
        <v>6</v>
      </c>
      <c r="E175" s="15" t="s">
        <v>381</v>
      </c>
      <c r="F175" s="15" t="s">
        <v>383</v>
      </c>
      <c r="G175" s="6">
        <v>79</v>
      </c>
      <c r="H175" s="6">
        <v>79</v>
      </c>
      <c r="I175" s="6">
        <v>81</v>
      </c>
      <c r="M175" s="6">
        <f t="shared" si="0"/>
        <v>239</v>
      </c>
      <c r="N175" s="15">
        <f t="shared" si="19"/>
        <v>239</v>
      </c>
    </row>
    <row r="176" spans="1:14">
      <c r="A176" s="15" t="s">
        <v>270</v>
      </c>
      <c r="B176" s="16" t="s">
        <v>23</v>
      </c>
      <c r="C176" s="15" t="s">
        <v>382</v>
      </c>
      <c r="D176" s="15" t="s">
        <v>6</v>
      </c>
      <c r="E176" s="15" t="s">
        <v>381</v>
      </c>
      <c r="F176" s="15" t="s">
        <v>383</v>
      </c>
      <c r="G176" s="6">
        <v>74</v>
      </c>
      <c r="H176" s="6">
        <v>78</v>
      </c>
      <c r="I176" s="6">
        <v>65</v>
      </c>
      <c r="M176" s="6">
        <f t="shared" si="0"/>
        <v>217</v>
      </c>
      <c r="N176" s="15">
        <f t="shared" si="19"/>
        <v>217</v>
      </c>
    </row>
    <row r="177" spans="1:14">
      <c r="A177" s="15" t="s">
        <v>77</v>
      </c>
      <c r="B177" s="16" t="s">
        <v>23</v>
      </c>
      <c r="C177" s="15" t="s">
        <v>49</v>
      </c>
      <c r="D177" s="15" t="s">
        <v>6</v>
      </c>
      <c r="E177" s="15" t="s">
        <v>381</v>
      </c>
      <c r="F177" s="15" t="s">
        <v>383</v>
      </c>
      <c r="G177" s="6">
        <v>58</v>
      </c>
      <c r="H177" s="6">
        <v>73</v>
      </c>
      <c r="I177" s="6">
        <v>75</v>
      </c>
      <c r="M177" s="6">
        <f t="shared" si="0"/>
        <v>206</v>
      </c>
      <c r="N177" s="15">
        <f t="shared" si="19"/>
        <v>206</v>
      </c>
    </row>
    <row r="178" spans="1:14">
      <c r="A178" s="15" t="s">
        <v>260</v>
      </c>
      <c r="B178" s="16" t="s">
        <v>20</v>
      </c>
      <c r="C178" s="15" t="s">
        <v>382</v>
      </c>
      <c r="D178" s="15" t="s">
        <v>6</v>
      </c>
      <c r="E178" s="15" t="s">
        <v>381</v>
      </c>
      <c r="F178" s="15" t="s">
        <v>383</v>
      </c>
      <c r="G178" s="6">
        <v>85</v>
      </c>
      <c r="H178" s="6">
        <v>85</v>
      </c>
      <c r="I178" s="6">
        <v>90</v>
      </c>
      <c r="M178" s="6">
        <f t="shared" si="0"/>
        <v>260</v>
      </c>
      <c r="N178" s="15">
        <f t="shared" si="19"/>
        <v>260</v>
      </c>
    </row>
    <row r="179" spans="1:14">
      <c r="A179" s="15" t="s">
        <v>296</v>
      </c>
      <c r="B179" s="16" t="s">
        <v>20</v>
      </c>
      <c r="C179" s="15" t="s">
        <v>384</v>
      </c>
      <c r="D179" s="15" t="s">
        <v>6</v>
      </c>
      <c r="E179" s="15" t="s">
        <v>381</v>
      </c>
      <c r="F179" s="15" t="s">
        <v>383</v>
      </c>
      <c r="G179" s="6">
        <v>96</v>
      </c>
      <c r="H179" s="6">
        <v>94</v>
      </c>
      <c r="I179" s="6">
        <v>95</v>
      </c>
      <c r="M179" s="6">
        <f t="shared" si="0"/>
        <v>285</v>
      </c>
      <c r="N179" s="15">
        <f t="shared" si="19"/>
        <v>285</v>
      </c>
    </row>
    <row r="180" spans="1:14">
      <c r="A180" s="15" t="s">
        <v>340</v>
      </c>
      <c r="B180" s="16" t="s">
        <v>20</v>
      </c>
      <c r="C180" s="15" t="s">
        <v>385</v>
      </c>
      <c r="D180" s="15" t="s">
        <v>6</v>
      </c>
      <c r="E180" s="15" t="s">
        <v>381</v>
      </c>
      <c r="F180" s="15" t="s">
        <v>383</v>
      </c>
      <c r="G180" s="6">
        <v>71</v>
      </c>
      <c r="H180" s="6">
        <v>71</v>
      </c>
      <c r="I180" s="6">
        <v>71</v>
      </c>
      <c r="M180" s="6">
        <f t="shared" si="0"/>
        <v>213</v>
      </c>
      <c r="N180" s="15">
        <f t="shared" si="19"/>
        <v>213</v>
      </c>
    </row>
    <row r="181" spans="1:14">
      <c r="A181" s="15" t="s">
        <v>253</v>
      </c>
      <c r="B181" s="16" t="s">
        <v>19</v>
      </c>
      <c r="C181" s="15" t="s">
        <v>382</v>
      </c>
      <c r="D181" s="15" t="s">
        <v>6</v>
      </c>
      <c r="E181" s="15" t="s">
        <v>381</v>
      </c>
      <c r="F181" s="15" t="s">
        <v>383</v>
      </c>
      <c r="G181" s="6">
        <v>95</v>
      </c>
      <c r="H181" s="6">
        <v>94</v>
      </c>
      <c r="I181" s="6">
        <v>96</v>
      </c>
      <c r="M181" s="6">
        <f t="shared" si="0"/>
        <v>285</v>
      </c>
      <c r="N181" s="15">
        <f t="shared" si="19"/>
        <v>285</v>
      </c>
    </row>
    <row r="182" spans="1:14">
      <c r="A182" s="15" t="s">
        <v>69</v>
      </c>
      <c r="B182" s="16" t="s">
        <v>19</v>
      </c>
      <c r="C182" s="15" t="s">
        <v>49</v>
      </c>
      <c r="D182" s="15" t="s">
        <v>6</v>
      </c>
      <c r="E182" s="15" t="s">
        <v>381</v>
      </c>
      <c r="F182" s="15" t="s">
        <v>383</v>
      </c>
      <c r="G182" s="6">
        <v>95</v>
      </c>
      <c r="H182" s="6">
        <v>96</v>
      </c>
      <c r="I182" s="6">
        <v>98</v>
      </c>
      <c r="M182" s="6">
        <f t="shared" si="0"/>
        <v>289</v>
      </c>
      <c r="N182" s="15">
        <f t="shared" si="19"/>
        <v>289</v>
      </c>
    </row>
    <row r="183" spans="1:14">
      <c r="A183" s="15" t="s">
        <v>299</v>
      </c>
      <c r="B183" s="16" t="s">
        <v>19</v>
      </c>
      <c r="C183" s="15" t="s">
        <v>384</v>
      </c>
      <c r="D183" s="15" t="s">
        <v>6</v>
      </c>
      <c r="E183" s="15" t="s">
        <v>381</v>
      </c>
      <c r="F183" s="15" t="s">
        <v>383</v>
      </c>
      <c r="G183" s="6">
        <v>94</v>
      </c>
      <c r="H183" s="6">
        <v>91</v>
      </c>
      <c r="I183" s="6">
        <v>94</v>
      </c>
      <c r="M183" s="6">
        <f t="shared" si="0"/>
        <v>279</v>
      </c>
      <c r="N183" s="15">
        <f t="shared" si="19"/>
        <v>279</v>
      </c>
    </row>
    <row r="184" spans="1:14">
      <c r="A184" s="15" t="s">
        <v>336</v>
      </c>
      <c r="B184" s="16" t="s">
        <v>19</v>
      </c>
      <c r="C184" s="15" t="s">
        <v>385</v>
      </c>
      <c r="D184" s="15" t="s">
        <v>6</v>
      </c>
      <c r="E184" s="15" t="s">
        <v>381</v>
      </c>
      <c r="F184" s="15" t="s">
        <v>383</v>
      </c>
      <c r="G184" s="6">
        <v>75</v>
      </c>
      <c r="H184" s="6">
        <v>78</v>
      </c>
      <c r="I184" s="6">
        <v>86</v>
      </c>
      <c r="M184" s="6">
        <f t="shared" si="0"/>
        <v>239</v>
      </c>
      <c r="N184" s="15">
        <f t="shared" si="19"/>
        <v>239</v>
      </c>
    </row>
    <row r="185" spans="1:14">
      <c r="A185" s="15" t="s">
        <v>171</v>
      </c>
      <c r="B185" s="16" t="s">
        <v>14</v>
      </c>
      <c r="C185" s="15" t="s">
        <v>49</v>
      </c>
      <c r="D185" s="15" t="s">
        <v>6</v>
      </c>
      <c r="E185" s="15" t="s">
        <v>381</v>
      </c>
      <c r="F185" s="15" t="s">
        <v>383</v>
      </c>
      <c r="G185" s="6">
        <v>76</v>
      </c>
      <c r="H185" s="6">
        <v>89</v>
      </c>
      <c r="I185" s="6">
        <v>85</v>
      </c>
      <c r="M185" s="6">
        <f t="shared" si="0"/>
        <v>250</v>
      </c>
      <c r="N185" s="15">
        <f t="shared" si="19"/>
        <v>250</v>
      </c>
    </row>
    <row r="186" spans="1:14">
      <c r="A186" s="15" t="s">
        <v>332</v>
      </c>
      <c r="B186" s="16" t="s">
        <v>14</v>
      </c>
      <c r="C186" s="15" t="s">
        <v>385</v>
      </c>
      <c r="D186" s="15" t="s">
        <v>6</v>
      </c>
      <c r="E186" s="15" t="s">
        <v>381</v>
      </c>
      <c r="F186" s="15" t="s">
        <v>383</v>
      </c>
      <c r="G186" s="6">
        <v>91</v>
      </c>
      <c r="H186" s="6">
        <v>90</v>
      </c>
      <c r="I186" s="6">
        <v>91</v>
      </c>
      <c r="M186" s="6">
        <f t="shared" si="0"/>
        <v>272</v>
      </c>
      <c r="N186" s="15">
        <f t="shared" si="19"/>
        <v>272</v>
      </c>
    </row>
    <row r="187" spans="1:14">
      <c r="A187" s="15" t="s">
        <v>337</v>
      </c>
      <c r="B187" s="16" t="s">
        <v>14</v>
      </c>
      <c r="C187" s="15" t="s">
        <v>385</v>
      </c>
      <c r="D187" s="15" t="s">
        <v>6</v>
      </c>
      <c r="E187" s="15" t="s">
        <v>51</v>
      </c>
      <c r="F187" s="15" t="s">
        <v>383</v>
      </c>
      <c r="G187" s="6">
        <v>77</v>
      </c>
      <c r="H187" s="6">
        <v>78</v>
      </c>
      <c r="I187" s="6">
        <v>76</v>
      </c>
      <c r="M187" s="6">
        <f t="shared" si="0"/>
        <v>231</v>
      </c>
      <c r="N187" s="15"/>
    </row>
    <row r="188" spans="1:14">
      <c r="A188" s="15" t="s">
        <v>269</v>
      </c>
      <c r="B188" s="16" t="s">
        <v>14</v>
      </c>
      <c r="C188" s="15" t="s">
        <v>382</v>
      </c>
      <c r="D188" s="15" t="s">
        <v>6</v>
      </c>
      <c r="E188" s="15" t="s">
        <v>381</v>
      </c>
      <c r="F188" s="15" t="s">
        <v>383</v>
      </c>
      <c r="G188" s="6">
        <v>75</v>
      </c>
      <c r="H188" s="6">
        <v>75</v>
      </c>
      <c r="I188" s="6">
        <v>73</v>
      </c>
      <c r="M188" s="6">
        <f t="shared" si="0"/>
        <v>223</v>
      </c>
      <c r="N188" s="15">
        <f t="shared" ref="N188:N192" si="20">M188</f>
        <v>223</v>
      </c>
    </row>
    <row r="189" spans="1:14">
      <c r="A189" s="15" t="s">
        <v>283</v>
      </c>
      <c r="B189" s="16" t="s">
        <v>14</v>
      </c>
      <c r="C189" s="15" t="s">
        <v>384</v>
      </c>
      <c r="D189" s="15" t="s">
        <v>6</v>
      </c>
      <c r="E189" s="15" t="s">
        <v>381</v>
      </c>
      <c r="F189" s="15" t="s">
        <v>383</v>
      </c>
      <c r="G189" s="6">
        <v>88</v>
      </c>
      <c r="H189" s="6">
        <v>87</v>
      </c>
      <c r="I189" s="6">
        <v>85</v>
      </c>
      <c r="M189" s="6">
        <f t="shared" si="0"/>
        <v>260</v>
      </c>
      <c r="N189" s="15">
        <f t="shared" si="20"/>
        <v>260</v>
      </c>
    </row>
    <row r="190" spans="1:14">
      <c r="A190" s="15" t="s">
        <v>74</v>
      </c>
      <c r="B190" s="16" t="s">
        <v>21</v>
      </c>
      <c r="C190" s="15" t="s">
        <v>49</v>
      </c>
      <c r="D190" s="15" t="s">
        <v>6</v>
      </c>
      <c r="E190" s="15" t="s">
        <v>381</v>
      </c>
      <c r="F190" s="15" t="s">
        <v>383</v>
      </c>
      <c r="G190" s="6">
        <v>88</v>
      </c>
      <c r="H190" s="6">
        <v>86</v>
      </c>
      <c r="I190" s="6">
        <v>93</v>
      </c>
      <c r="M190" s="6">
        <f t="shared" si="0"/>
        <v>267</v>
      </c>
      <c r="N190" s="15">
        <f t="shared" si="20"/>
        <v>267</v>
      </c>
    </row>
    <row r="191" spans="1:14">
      <c r="A191" s="15" t="s">
        <v>282</v>
      </c>
      <c r="B191" s="16" t="s">
        <v>21</v>
      </c>
      <c r="C191" s="15" t="s">
        <v>384</v>
      </c>
      <c r="D191" s="15" t="s">
        <v>6</v>
      </c>
      <c r="E191" s="15" t="s">
        <v>381</v>
      </c>
      <c r="F191" s="15" t="s">
        <v>383</v>
      </c>
      <c r="G191" s="6">
        <v>91</v>
      </c>
      <c r="H191" s="6">
        <v>84</v>
      </c>
      <c r="I191" s="6">
        <v>86</v>
      </c>
      <c r="M191" s="6">
        <f t="shared" si="0"/>
        <v>261</v>
      </c>
      <c r="N191" s="15">
        <f t="shared" si="20"/>
        <v>261</v>
      </c>
    </row>
    <row r="192" spans="1:14">
      <c r="A192" s="15" t="s">
        <v>330</v>
      </c>
      <c r="B192" s="16" t="s">
        <v>21</v>
      </c>
      <c r="C192" s="15" t="s">
        <v>385</v>
      </c>
      <c r="D192" s="15" t="s">
        <v>6</v>
      </c>
      <c r="E192" s="15" t="s">
        <v>381</v>
      </c>
      <c r="F192" s="15" t="s">
        <v>383</v>
      </c>
      <c r="G192" s="6">
        <v>94</v>
      </c>
      <c r="H192" s="6">
        <v>91</v>
      </c>
      <c r="I192" s="6">
        <v>95</v>
      </c>
      <c r="M192" s="6">
        <f t="shared" si="0"/>
        <v>280</v>
      </c>
      <c r="N192" s="15">
        <f t="shared" si="20"/>
        <v>280</v>
      </c>
    </row>
    <row r="193" spans="1:14">
      <c r="A193" t="s">
        <v>167</v>
      </c>
      <c r="B193" s="16" t="s">
        <v>21</v>
      </c>
      <c r="C193" s="15" t="s">
        <v>49</v>
      </c>
      <c r="D193" s="15" t="s">
        <v>6</v>
      </c>
      <c r="E193" s="15" t="s">
        <v>51</v>
      </c>
      <c r="F193" s="15" t="s">
        <v>383</v>
      </c>
      <c r="G193" s="6">
        <v>82</v>
      </c>
      <c r="H193" s="6">
        <v>83</v>
      </c>
      <c r="I193" s="6">
        <v>91</v>
      </c>
      <c r="M193" s="6">
        <f t="shared" si="0"/>
        <v>256</v>
      </c>
      <c r="N193" s="15"/>
    </row>
    <row r="194" spans="1:14">
      <c r="A194" s="15" t="s">
        <v>308</v>
      </c>
      <c r="B194" s="16" t="s">
        <v>22</v>
      </c>
      <c r="C194" s="15" t="s">
        <v>384</v>
      </c>
      <c r="D194" s="15" t="s">
        <v>6</v>
      </c>
      <c r="E194" s="15" t="s">
        <v>381</v>
      </c>
      <c r="F194" s="15" t="s">
        <v>383</v>
      </c>
      <c r="G194" s="6">
        <v>44</v>
      </c>
      <c r="H194" s="6">
        <v>32</v>
      </c>
      <c r="I194" s="6">
        <v>77</v>
      </c>
      <c r="M194" s="6">
        <f t="shared" si="0"/>
        <v>153</v>
      </c>
      <c r="N194" s="15">
        <f t="shared" ref="N194:N197" si="21">M194</f>
        <v>153</v>
      </c>
    </row>
    <row r="195" spans="1:14">
      <c r="A195" s="15" t="s">
        <v>342</v>
      </c>
      <c r="B195" s="16" t="s">
        <v>22</v>
      </c>
      <c r="C195" s="15" t="s">
        <v>385</v>
      </c>
      <c r="D195" s="15" t="s">
        <v>6</v>
      </c>
      <c r="E195" s="15" t="s">
        <v>381</v>
      </c>
      <c r="F195" s="15" t="s">
        <v>383</v>
      </c>
      <c r="G195" s="6">
        <v>42</v>
      </c>
      <c r="H195" s="6">
        <v>26</v>
      </c>
      <c r="I195" s="6">
        <v>23</v>
      </c>
      <c r="M195" s="6">
        <f t="shared" si="0"/>
        <v>91</v>
      </c>
      <c r="N195" s="15">
        <f t="shared" si="21"/>
        <v>91</v>
      </c>
    </row>
    <row r="196" spans="1:14">
      <c r="A196" s="15" t="s">
        <v>135</v>
      </c>
      <c r="B196" s="16" t="s">
        <v>22</v>
      </c>
      <c r="C196" s="15" t="s">
        <v>49</v>
      </c>
      <c r="D196" s="15" t="s">
        <v>6</v>
      </c>
      <c r="E196" s="15" t="s">
        <v>381</v>
      </c>
      <c r="F196" s="15" t="s">
        <v>383</v>
      </c>
      <c r="G196" s="6">
        <v>56</v>
      </c>
      <c r="H196" s="6">
        <v>63</v>
      </c>
      <c r="I196" s="6">
        <v>55</v>
      </c>
      <c r="M196" s="6">
        <f t="shared" si="0"/>
        <v>174</v>
      </c>
      <c r="N196" s="15">
        <f t="shared" si="21"/>
        <v>174</v>
      </c>
    </row>
    <row r="197" spans="1:14">
      <c r="A197" s="15" t="s">
        <v>225</v>
      </c>
      <c r="B197" s="16" t="s">
        <v>22</v>
      </c>
      <c r="C197" s="15" t="s">
        <v>382</v>
      </c>
      <c r="D197" s="15" t="s">
        <v>6</v>
      </c>
      <c r="E197" s="15" t="s">
        <v>381</v>
      </c>
      <c r="F197" s="15" t="s">
        <v>383</v>
      </c>
      <c r="G197" s="6">
        <v>81</v>
      </c>
      <c r="H197" s="6">
        <v>82</v>
      </c>
      <c r="I197" s="6">
        <v>69</v>
      </c>
      <c r="M197" s="6">
        <f t="shared" si="0"/>
        <v>232</v>
      </c>
      <c r="N197" s="15">
        <f t="shared" si="21"/>
        <v>232</v>
      </c>
    </row>
    <row r="198" spans="1:14">
      <c r="A198" s="15" t="s">
        <v>178</v>
      </c>
      <c r="B198" s="16" t="s">
        <v>15</v>
      </c>
      <c r="C198" s="15" t="s">
        <v>49</v>
      </c>
      <c r="D198" s="15" t="s">
        <v>7</v>
      </c>
      <c r="E198" s="15" t="s">
        <v>51</v>
      </c>
      <c r="F198" s="15" t="s">
        <v>52</v>
      </c>
      <c r="G198" s="6">
        <v>78</v>
      </c>
      <c r="H198" s="6">
        <v>79</v>
      </c>
      <c r="I198" s="6">
        <v>84</v>
      </c>
      <c r="M198" s="6">
        <f t="shared" si="0"/>
        <v>241</v>
      </c>
      <c r="N198" s="15"/>
    </row>
    <row r="199" spans="1:14">
      <c r="A199" s="15" t="s">
        <v>169</v>
      </c>
      <c r="B199" s="16" t="s">
        <v>18</v>
      </c>
      <c r="C199" s="15" t="s">
        <v>49</v>
      </c>
      <c r="D199" s="16" t="s">
        <v>6</v>
      </c>
      <c r="E199" s="15" t="s">
        <v>51</v>
      </c>
      <c r="F199" s="15" t="s">
        <v>383</v>
      </c>
      <c r="G199" s="6">
        <v>87</v>
      </c>
      <c r="H199" s="6">
        <v>80</v>
      </c>
      <c r="I199" s="6">
        <v>84</v>
      </c>
      <c r="M199" s="6">
        <f t="shared" si="0"/>
        <v>251</v>
      </c>
      <c r="N199" s="15"/>
    </row>
    <row r="200" spans="1:14">
      <c r="A200" s="15" t="s">
        <v>98</v>
      </c>
      <c r="B200" s="16" t="s">
        <v>21</v>
      </c>
      <c r="C200" s="15" t="s">
        <v>49</v>
      </c>
      <c r="D200" s="16" t="s">
        <v>7</v>
      </c>
      <c r="E200" s="15" t="s">
        <v>51</v>
      </c>
      <c r="F200" s="15" t="s">
        <v>383</v>
      </c>
      <c r="G200" s="6">
        <v>90</v>
      </c>
      <c r="H200" s="6">
        <v>88</v>
      </c>
      <c r="I200" s="6">
        <v>91</v>
      </c>
      <c r="M200" s="6">
        <f t="shared" si="0"/>
        <v>269</v>
      </c>
      <c r="N200" s="15"/>
    </row>
    <row r="201" spans="1:14">
      <c r="A201" s="15" t="s">
        <v>126</v>
      </c>
      <c r="B201" s="16" t="s">
        <v>20</v>
      </c>
      <c r="C201" s="15" t="s">
        <v>49</v>
      </c>
      <c r="D201" s="16" t="s">
        <v>7</v>
      </c>
      <c r="E201" s="15" t="s">
        <v>51</v>
      </c>
      <c r="F201" s="15" t="s">
        <v>383</v>
      </c>
      <c r="G201" s="6">
        <v>75</v>
      </c>
      <c r="H201" s="6">
        <v>75</v>
      </c>
      <c r="I201" s="6">
        <v>74</v>
      </c>
      <c r="M201" s="6">
        <f t="shared" si="0"/>
        <v>224</v>
      </c>
      <c r="N201" s="15"/>
    </row>
    <row r="202" spans="1:14">
      <c r="A202" s="15" t="s">
        <v>115</v>
      </c>
      <c r="B202" s="16" t="s">
        <v>13</v>
      </c>
      <c r="C202" s="15" t="s">
        <v>49</v>
      </c>
      <c r="D202" s="16" t="s">
        <v>7</v>
      </c>
      <c r="E202" s="15" t="s">
        <v>381</v>
      </c>
      <c r="F202" s="15" t="s">
        <v>52</v>
      </c>
      <c r="G202" s="6">
        <v>90</v>
      </c>
      <c r="H202" s="6">
        <v>85</v>
      </c>
      <c r="I202" s="6">
        <v>89</v>
      </c>
      <c r="M202" s="6">
        <f t="shared" si="0"/>
        <v>264</v>
      </c>
      <c r="N202" s="15">
        <f t="shared" ref="N202:N205" si="22">M202</f>
        <v>264</v>
      </c>
    </row>
    <row r="203" spans="1:14">
      <c r="A203" s="15" t="s">
        <v>220</v>
      </c>
      <c r="B203" s="16" t="s">
        <v>13</v>
      </c>
      <c r="C203" s="15" t="s">
        <v>382</v>
      </c>
      <c r="D203" s="16" t="s">
        <v>7</v>
      </c>
      <c r="E203" s="15" t="s">
        <v>381</v>
      </c>
      <c r="F203" s="15" t="s">
        <v>52</v>
      </c>
      <c r="G203" s="6">
        <v>87</v>
      </c>
      <c r="H203" s="6">
        <v>92</v>
      </c>
      <c r="I203" s="6">
        <v>93</v>
      </c>
      <c r="M203" s="6">
        <f t="shared" si="0"/>
        <v>272</v>
      </c>
      <c r="N203" s="15">
        <f t="shared" si="22"/>
        <v>272</v>
      </c>
    </row>
    <row r="204" spans="1:14">
      <c r="A204" s="15" t="s">
        <v>262</v>
      </c>
      <c r="B204" s="16" t="s">
        <v>16</v>
      </c>
      <c r="C204" s="15" t="s">
        <v>382</v>
      </c>
      <c r="D204" s="16" t="s">
        <v>7</v>
      </c>
      <c r="E204" s="15" t="s">
        <v>381</v>
      </c>
      <c r="F204" s="15" t="s">
        <v>52</v>
      </c>
      <c r="G204" s="6">
        <v>86</v>
      </c>
      <c r="H204" s="6">
        <v>82</v>
      </c>
      <c r="I204" s="6">
        <v>87</v>
      </c>
      <c r="M204" s="6">
        <f t="shared" si="0"/>
        <v>255</v>
      </c>
      <c r="N204" s="15">
        <f t="shared" si="22"/>
        <v>255</v>
      </c>
    </row>
    <row r="205" spans="1:14">
      <c r="A205" s="15" t="s">
        <v>162</v>
      </c>
      <c r="B205" s="16" t="s">
        <v>16</v>
      </c>
      <c r="C205" s="15" t="s">
        <v>49</v>
      </c>
      <c r="D205" s="16" t="s">
        <v>7</v>
      </c>
      <c r="E205" s="15" t="s">
        <v>381</v>
      </c>
      <c r="F205" s="15" t="s">
        <v>52</v>
      </c>
      <c r="G205" s="6">
        <v>89</v>
      </c>
      <c r="H205" s="6">
        <v>91</v>
      </c>
      <c r="I205" s="6">
        <v>85</v>
      </c>
      <c r="M205" s="6">
        <f t="shared" si="0"/>
        <v>265</v>
      </c>
      <c r="N205" s="15">
        <f t="shared" si="22"/>
        <v>265</v>
      </c>
    </row>
    <row r="206" spans="1:14">
      <c r="A206" s="15" t="s">
        <v>208</v>
      </c>
      <c r="B206" s="16" t="s">
        <v>16</v>
      </c>
      <c r="C206" s="15" t="s">
        <v>382</v>
      </c>
      <c r="D206" s="16" t="s">
        <v>7</v>
      </c>
      <c r="E206" s="15" t="s">
        <v>51</v>
      </c>
      <c r="F206" s="15" t="s">
        <v>52</v>
      </c>
      <c r="G206" s="6">
        <v>95</v>
      </c>
      <c r="H206" s="6">
        <v>95</v>
      </c>
      <c r="I206" s="6">
        <v>95</v>
      </c>
      <c r="M206" s="6">
        <f t="shared" si="0"/>
        <v>285</v>
      </c>
      <c r="N206" s="15"/>
    </row>
    <row r="207" spans="1:14">
      <c r="A207" s="15" t="s">
        <v>48</v>
      </c>
      <c r="B207" s="16" t="s">
        <v>25</v>
      </c>
      <c r="C207" s="15" t="s">
        <v>49</v>
      </c>
      <c r="D207" s="16" t="s">
        <v>7</v>
      </c>
      <c r="E207" s="15" t="s">
        <v>381</v>
      </c>
      <c r="F207" s="15" t="s">
        <v>52</v>
      </c>
      <c r="G207" s="6">
        <v>89</v>
      </c>
      <c r="H207" s="6">
        <v>87</v>
      </c>
      <c r="I207" s="6">
        <v>85</v>
      </c>
      <c r="M207" s="6">
        <f t="shared" si="0"/>
        <v>261</v>
      </c>
      <c r="N207" s="15">
        <f t="shared" ref="N207:N213" si="23">M207</f>
        <v>261</v>
      </c>
    </row>
    <row r="208" spans="1:14">
      <c r="A208" s="15" t="s">
        <v>230</v>
      </c>
      <c r="B208" s="16" t="s">
        <v>25</v>
      </c>
      <c r="C208" s="15" t="s">
        <v>382</v>
      </c>
      <c r="D208" s="16" t="s">
        <v>7</v>
      </c>
      <c r="E208" s="15" t="s">
        <v>381</v>
      </c>
      <c r="F208" s="15" t="s">
        <v>52</v>
      </c>
      <c r="G208" s="6">
        <v>68</v>
      </c>
      <c r="H208" s="6">
        <v>76</v>
      </c>
      <c r="I208" s="6">
        <v>79</v>
      </c>
      <c r="M208" s="6">
        <f t="shared" si="0"/>
        <v>223</v>
      </c>
      <c r="N208" s="15">
        <f t="shared" si="23"/>
        <v>223</v>
      </c>
    </row>
    <row r="209" spans="1:14">
      <c r="A209" s="15" t="s">
        <v>101</v>
      </c>
      <c r="B209" s="16" t="s">
        <v>27</v>
      </c>
      <c r="C209" s="15" t="s">
        <v>49</v>
      </c>
      <c r="D209" s="16" t="s">
        <v>7</v>
      </c>
      <c r="E209" s="15" t="s">
        <v>381</v>
      </c>
      <c r="F209" s="15" t="s">
        <v>52</v>
      </c>
      <c r="G209" s="6">
        <v>88</v>
      </c>
      <c r="H209" s="6">
        <v>84</v>
      </c>
      <c r="I209" s="6">
        <v>87</v>
      </c>
      <c r="M209" s="6">
        <f t="shared" si="0"/>
        <v>259</v>
      </c>
      <c r="N209" s="15">
        <f t="shared" si="23"/>
        <v>259</v>
      </c>
    </row>
    <row r="210" spans="1:14">
      <c r="A210" s="15" t="s">
        <v>109</v>
      </c>
      <c r="B210" s="16" t="s">
        <v>17</v>
      </c>
      <c r="C210" s="15" t="s">
        <v>49</v>
      </c>
      <c r="D210" s="16" t="s">
        <v>7</v>
      </c>
      <c r="E210" s="15" t="s">
        <v>381</v>
      </c>
      <c r="F210" s="15" t="s">
        <v>52</v>
      </c>
      <c r="G210" s="6">
        <v>81</v>
      </c>
      <c r="H210" s="6">
        <v>91</v>
      </c>
      <c r="I210" s="6">
        <v>79</v>
      </c>
      <c r="M210" s="6">
        <f t="shared" si="0"/>
        <v>251</v>
      </c>
      <c r="N210" s="15">
        <f t="shared" si="23"/>
        <v>251</v>
      </c>
    </row>
    <row r="211" spans="1:14">
      <c r="A211" s="15" t="s">
        <v>232</v>
      </c>
      <c r="B211" s="16" t="s">
        <v>17</v>
      </c>
      <c r="C211" s="15" t="s">
        <v>382</v>
      </c>
      <c r="D211" s="16" t="s">
        <v>7</v>
      </c>
      <c r="E211" s="15" t="s">
        <v>381</v>
      </c>
      <c r="F211" s="15" t="s">
        <v>52</v>
      </c>
      <c r="G211" s="6">
        <v>79</v>
      </c>
      <c r="H211" s="6">
        <v>84</v>
      </c>
      <c r="I211" s="6">
        <v>87</v>
      </c>
      <c r="M211" s="6">
        <f t="shared" si="0"/>
        <v>250</v>
      </c>
      <c r="N211" s="15">
        <f t="shared" si="23"/>
        <v>250</v>
      </c>
    </row>
    <row r="212" spans="1:14">
      <c r="A212" s="15" t="s">
        <v>229</v>
      </c>
      <c r="B212" s="16" t="s">
        <v>26</v>
      </c>
      <c r="C212" s="15" t="s">
        <v>382</v>
      </c>
      <c r="D212" s="16" t="s">
        <v>7</v>
      </c>
      <c r="E212" s="15" t="s">
        <v>381</v>
      </c>
      <c r="F212" s="15" t="s">
        <v>52</v>
      </c>
      <c r="G212" s="6">
        <v>85</v>
      </c>
      <c r="H212" s="6">
        <v>85</v>
      </c>
      <c r="I212" s="6">
        <v>77</v>
      </c>
      <c r="M212" s="6">
        <f t="shared" si="0"/>
        <v>247</v>
      </c>
      <c r="N212" s="15">
        <f t="shared" si="23"/>
        <v>247</v>
      </c>
    </row>
    <row r="213" spans="1:14">
      <c r="A213" s="15" t="s">
        <v>95</v>
      </c>
      <c r="B213" s="16" t="s">
        <v>26</v>
      </c>
      <c r="C213" s="15" t="s">
        <v>49</v>
      </c>
      <c r="D213" s="16" t="s">
        <v>7</v>
      </c>
      <c r="E213" s="15" t="s">
        <v>381</v>
      </c>
      <c r="F213" s="15" t="s">
        <v>52</v>
      </c>
      <c r="G213" s="6">
        <v>91</v>
      </c>
      <c r="H213" s="6">
        <v>87</v>
      </c>
      <c r="I213" s="6">
        <v>87</v>
      </c>
      <c r="M213" s="6">
        <f t="shared" si="0"/>
        <v>265</v>
      </c>
      <c r="N213" s="15">
        <f t="shared" si="23"/>
        <v>265</v>
      </c>
    </row>
    <row r="214" spans="1:14">
      <c r="A214" s="15" t="s">
        <v>184</v>
      </c>
      <c r="B214" s="16" t="s">
        <v>26</v>
      </c>
      <c r="C214" s="15" t="s">
        <v>49</v>
      </c>
      <c r="D214" s="16" t="s">
        <v>7</v>
      </c>
      <c r="E214" s="15" t="s">
        <v>51</v>
      </c>
      <c r="F214" s="15" t="s">
        <v>52</v>
      </c>
      <c r="G214" s="6">
        <v>79</v>
      </c>
      <c r="H214" s="6">
        <v>74</v>
      </c>
      <c r="I214" s="6">
        <v>79</v>
      </c>
      <c r="M214" s="6">
        <f t="shared" si="0"/>
        <v>232</v>
      </c>
      <c r="N214" s="15"/>
    </row>
    <row r="215" spans="1:14">
      <c r="A215" s="15" t="s">
        <v>103</v>
      </c>
      <c r="B215" s="16" t="s">
        <v>15</v>
      </c>
      <c r="C215" s="15" t="s">
        <v>49</v>
      </c>
      <c r="D215" s="16" t="s">
        <v>7</v>
      </c>
      <c r="E215" s="15" t="s">
        <v>51</v>
      </c>
      <c r="F215" s="15" t="s">
        <v>52</v>
      </c>
      <c r="G215" s="6">
        <v>91</v>
      </c>
      <c r="H215" s="6">
        <v>93</v>
      </c>
      <c r="I215" s="6">
        <v>90</v>
      </c>
      <c r="M215" s="6">
        <f t="shared" si="0"/>
        <v>274</v>
      </c>
      <c r="N215" s="15"/>
    </row>
    <row r="216" spans="1:14">
      <c r="A216" s="15" t="s">
        <v>226</v>
      </c>
      <c r="B216" s="16" t="s">
        <v>15</v>
      </c>
      <c r="C216" s="15" t="s">
        <v>382</v>
      </c>
      <c r="D216" s="16" t="s">
        <v>7</v>
      </c>
      <c r="E216" s="15" t="s">
        <v>381</v>
      </c>
      <c r="F216" s="15" t="s">
        <v>52</v>
      </c>
      <c r="G216" s="6">
        <v>93</v>
      </c>
      <c r="H216" s="6">
        <v>84</v>
      </c>
      <c r="I216" s="6">
        <v>89</v>
      </c>
      <c r="M216" s="6">
        <f t="shared" si="0"/>
        <v>266</v>
      </c>
      <c r="N216" s="15">
        <f t="shared" ref="N216:N223" si="24">M216</f>
        <v>266</v>
      </c>
    </row>
    <row r="217" spans="1:14">
      <c r="A217" s="15" t="s">
        <v>227</v>
      </c>
      <c r="B217" s="16" t="s">
        <v>28</v>
      </c>
      <c r="C217" s="15" t="s">
        <v>382</v>
      </c>
      <c r="D217" s="16" t="s">
        <v>7</v>
      </c>
      <c r="E217" s="15" t="s">
        <v>381</v>
      </c>
      <c r="F217" s="15" t="s">
        <v>52</v>
      </c>
      <c r="G217" s="6">
        <v>81</v>
      </c>
      <c r="H217" s="6">
        <v>83</v>
      </c>
      <c r="I217" s="6">
        <v>79</v>
      </c>
      <c r="M217" s="6">
        <f t="shared" si="0"/>
        <v>243</v>
      </c>
      <c r="N217" s="15">
        <f t="shared" si="24"/>
        <v>243</v>
      </c>
    </row>
    <row r="218" spans="1:14">
      <c r="A218" s="15" t="s">
        <v>102</v>
      </c>
      <c r="B218" s="16" t="s">
        <v>28</v>
      </c>
      <c r="C218" s="15" t="s">
        <v>49</v>
      </c>
      <c r="D218" s="16" t="s">
        <v>7</v>
      </c>
      <c r="E218" s="15" t="s">
        <v>381</v>
      </c>
      <c r="F218" s="15" t="s">
        <v>52</v>
      </c>
      <c r="G218" s="6">
        <v>83</v>
      </c>
      <c r="H218" s="6">
        <v>79</v>
      </c>
      <c r="I218" s="6">
        <v>87</v>
      </c>
      <c r="M218" s="6">
        <f t="shared" si="0"/>
        <v>249</v>
      </c>
      <c r="N218" s="15">
        <f t="shared" si="24"/>
        <v>249</v>
      </c>
    </row>
    <row r="219" spans="1:14">
      <c r="A219" s="15" t="s">
        <v>180</v>
      </c>
      <c r="B219" s="16" t="s">
        <v>24</v>
      </c>
      <c r="C219" s="15" t="s">
        <v>49</v>
      </c>
      <c r="D219" s="15" t="s">
        <v>7</v>
      </c>
      <c r="E219" s="15" t="s">
        <v>381</v>
      </c>
      <c r="F219" s="15" t="s">
        <v>383</v>
      </c>
      <c r="G219" s="6">
        <v>79</v>
      </c>
      <c r="H219" s="6">
        <v>76</v>
      </c>
      <c r="I219" s="6">
        <v>83</v>
      </c>
      <c r="M219" s="6">
        <f t="shared" si="0"/>
        <v>238</v>
      </c>
      <c r="N219" s="15">
        <f t="shared" si="24"/>
        <v>238</v>
      </c>
    </row>
    <row r="220" spans="1:14">
      <c r="A220" s="15" t="s">
        <v>204</v>
      </c>
      <c r="B220" s="16" t="s">
        <v>24</v>
      </c>
      <c r="C220" s="15" t="s">
        <v>382</v>
      </c>
      <c r="D220" s="15" t="s">
        <v>7</v>
      </c>
      <c r="E220" s="15" t="s">
        <v>381</v>
      </c>
      <c r="F220" s="15" t="s">
        <v>383</v>
      </c>
      <c r="G220" s="6">
        <v>73</v>
      </c>
      <c r="H220" s="6">
        <v>78</v>
      </c>
      <c r="I220" s="6">
        <v>82</v>
      </c>
      <c r="M220" s="6">
        <f t="shared" si="0"/>
        <v>233</v>
      </c>
      <c r="N220" s="15">
        <f t="shared" si="24"/>
        <v>233</v>
      </c>
    </row>
    <row r="221" spans="1:14">
      <c r="A221" s="15" t="s">
        <v>228</v>
      </c>
      <c r="B221" s="16" t="s">
        <v>18</v>
      </c>
      <c r="C221" s="15" t="s">
        <v>382</v>
      </c>
      <c r="D221" s="15" t="s">
        <v>7</v>
      </c>
      <c r="E221" s="15" t="s">
        <v>381</v>
      </c>
      <c r="F221" s="15" t="s">
        <v>383</v>
      </c>
      <c r="G221" s="6">
        <v>84</v>
      </c>
      <c r="H221" s="6">
        <v>90</v>
      </c>
      <c r="I221" s="6">
        <v>85</v>
      </c>
      <c r="M221" s="6">
        <f t="shared" si="0"/>
        <v>259</v>
      </c>
      <c r="N221" s="15">
        <f t="shared" si="24"/>
        <v>259</v>
      </c>
    </row>
    <row r="222" spans="1:14">
      <c r="A222" s="15" t="s">
        <v>175</v>
      </c>
      <c r="B222" s="16" t="s">
        <v>18</v>
      </c>
      <c r="C222" s="15" t="s">
        <v>49</v>
      </c>
      <c r="D222" s="15" t="s">
        <v>7</v>
      </c>
      <c r="E222" s="15" t="s">
        <v>381</v>
      </c>
      <c r="F222" s="15" t="s">
        <v>383</v>
      </c>
      <c r="G222" s="6">
        <v>75</v>
      </c>
      <c r="H222" s="6">
        <v>86</v>
      </c>
      <c r="I222" s="6">
        <v>87</v>
      </c>
      <c r="M222" s="6">
        <f t="shared" si="0"/>
        <v>248</v>
      </c>
      <c r="N222" s="15">
        <f t="shared" si="24"/>
        <v>248</v>
      </c>
    </row>
    <row r="223" spans="1:14">
      <c r="A223" s="15" t="s">
        <v>235</v>
      </c>
      <c r="B223" s="16" t="s">
        <v>23</v>
      </c>
      <c r="C223" s="15" t="s">
        <v>382</v>
      </c>
      <c r="D223" s="15" t="s">
        <v>7</v>
      </c>
      <c r="E223" s="15" t="s">
        <v>381</v>
      </c>
      <c r="F223" s="15" t="s">
        <v>383</v>
      </c>
      <c r="G223" s="6">
        <v>78</v>
      </c>
      <c r="H223" s="6">
        <v>80</v>
      </c>
      <c r="I223" s="6">
        <v>79</v>
      </c>
      <c r="M223" s="6">
        <f t="shared" si="0"/>
        <v>237</v>
      </c>
      <c r="N223" s="15">
        <f t="shared" si="24"/>
        <v>237</v>
      </c>
    </row>
    <row r="224" spans="1:14">
      <c r="A224" s="15" t="s">
        <v>83</v>
      </c>
      <c r="B224" s="16" t="s">
        <v>23</v>
      </c>
      <c r="C224" s="15" t="s">
        <v>49</v>
      </c>
      <c r="D224" s="15" t="s">
        <v>7</v>
      </c>
      <c r="E224" s="15" t="s">
        <v>51</v>
      </c>
      <c r="F224" s="15" t="s">
        <v>383</v>
      </c>
      <c r="G224" s="6">
        <v>82</v>
      </c>
      <c r="H224" s="6">
        <v>88</v>
      </c>
      <c r="I224" s="6">
        <v>89</v>
      </c>
      <c r="M224" s="6">
        <f t="shared" si="0"/>
        <v>259</v>
      </c>
      <c r="N224" s="15"/>
    </row>
    <row r="225" spans="1:14">
      <c r="A225" s="15" t="s">
        <v>199</v>
      </c>
      <c r="B225" s="16" t="s">
        <v>23</v>
      </c>
      <c r="C225" s="15" t="s">
        <v>49</v>
      </c>
      <c r="D225" s="15" t="s">
        <v>7</v>
      </c>
      <c r="E225" s="15" t="s">
        <v>381</v>
      </c>
      <c r="F225" s="15" t="s">
        <v>383</v>
      </c>
      <c r="G225" s="6">
        <v>53</v>
      </c>
      <c r="H225" s="6">
        <v>45</v>
      </c>
      <c r="I225" s="6">
        <v>48</v>
      </c>
      <c r="M225" s="6">
        <f t="shared" si="0"/>
        <v>146</v>
      </c>
      <c r="N225" s="15">
        <f t="shared" ref="N225:N229" si="25">M225</f>
        <v>146</v>
      </c>
    </row>
    <row r="226" spans="1:14">
      <c r="A226" s="15" t="s">
        <v>242</v>
      </c>
      <c r="B226" s="16" t="s">
        <v>20</v>
      </c>
      <c r="C226" s="15" t="s">
        <v>382</v>
      </c>
      <c r="D226" s="15" t="s">
        <v>7</v>
      </c>
      <c r="E226" s="15" t="s">
        <v>381</v>
      </c>
      <c r="F226" s="15" t="s">
        <v>383</v>
      </c>
      <c r="G226" s="6">
        <v>81</v>
      </c>
      <c r="H226" s="6">
        <v>75</v>
      </c>
      <c r="I226" s="6">
        <v>82</v>
      </c>
      <c r="M226" s="6">
        <f t="shared" si="0"/>
        <v>238</v>
      </c>
      <c r="N226" s="15">
        <f t="shared" si="25"/>
        <v>238</v>
      </c>
    </row>
    <row r="227" spans="1:14">
      <c r="A227" s="15" t="s">
        <v>100</v>
      </c>
      <c r="B227" s="16" t="s">
        <v>20</v>
      </c>
      <c r="C227" s="15" t="s">
        <v>49</v>
      </c>
      <c r="D227" s="15" t="s">
        <v>7</v>
      </c>
      <c r="E227" s="15" t="s">
        <v>381</v>
      </c>
      <c r="F227" s="15" t="s">
        <v>383</v>
      </c>
      <c r="G227" s="6">
        <v>86</v>
      </c>
      <c r="H227" s="6">
        <v>79</v>
      </c>
      <c r="I227" s="6">
        <v>89</v>
      </c>
      <c r="M227" s="6">
        <f t="shared" si="0"/>
        <v>254</v>
      </c>
      <c r="N227" s="15">
        <f t="shared" si="25"/>
        <v>254</v>
      </c>
    </row>
    <row r="228" spans="1:14">
      <c r="A228" s="15" t="s">
        <v>265</v>
      </c>
      <c r="B228" s="16" t="s">
        <v>19</v>
      </c>
      <c r="C228" s="15" t="s">
        <v>382</v>
      </c>
      <c r="D228" s="15" t="s">
        <v>7</v>
      </c>
      <c r="E228" s="15" t="s">
        <v>381</v>
      </c>
      <c r="F228" s="15" t="s">
        <v>383</v>
      </c>
      <c r="G228" s="6">
        <v>89</v>
      </c>
      <c r="H228" s="6">
        <v>71</v>
      </c>
      <c r="I228" s="6">
        <v>80</v>
      </c>
      <c r="M228" s="6">
        <f t="shared" si="0"/>
        <v>240</v>
      </c>
      <c r="N228" s="15">
        <f t="shared" si="25"/>
        <v>240</v>
      </c>
    </row>
    <row r="229" spans="1:14">
      <c r="A229" s="15" t="s">
        <v>111</v>
      </c>
      <c r="B229" s="16" t="s">
        <v>19</v>
      </c>
      <c r="C229" s="15" t="s">
        <v>49</v>
      </c>
      <c r="D229" s="15" t="s">
        <v>7</v>
      </c>
      <c r="E229" s="15" t="s">
        <v>381</v>
      </c>
      <c r="F229" s="15" t="s">
        <v>383</v>
      </c>
      <c r="G229" s="6">
        <v>86</v>
      </c>
      <c r="H229" s="6">
        <v>88</v>
      </c>
      <c r="I229" s="6">
        <v>87</v>
      </c>
      <c r="M229" s="6">
        <f t="shared" si="0"/>
        <v>261</v>
      </c>
      <c r="N229" s="15">
        <f t="shared" si="25"/>
        <v>261</v>
      </c>
    </row>
    <row r="230" spans="1:14">
      <c r="A230" s="15" t="s">
        <v>57</v>
      </c>
      <c r="B230" s="16" t="s">
        <v>14</v>
      </c>
      <c r="C230" s="15" t="s">
        <v>49</v>
      </c>
      <c r="D230" s="15" t="s">
        <v>7</v>
      </c>
      <c r="E230" s="15" t="s">
        <v>51</v>
      </c>
      <c r="F230" s="15" t="s">
        <v>383</v>
      </c>
      <c r="G230" s="6">
        <v>74</v>
      </c>
      <c r="H230" s="6">
        <v>85</v>
      </c>
      <c r="I230" s="6">
        <v>86</v>
      </c>
      <c r="M230" s="6">
        <f t="shared" si="0"/>
        <v>245</v>
      </c>
      <c r="N230" s="15"/>
    </row>
    <row r="231" spans="1:14">
      <c r="A231" s="15" t="s">
        <v>268</v>
      </c>
      <c r="B231" s="16" t="s">
        <v>14</v>
      </c>
      <c r="C231" s="15" t="s">
        <v>382</v>
      </c>
      <c r="D231" s="15" t="s">
        <v>7</v>
      </c>
      <c r="E231" s="15" t="s">
        <v>381</v>
      </c>
      <c r="F231" s="15" t="s">
        <v>383</v>
      </c>
      <c r="G231" s="6">
        <v>70</v>
      </c>
      <c r="H231" s="6">
        <v>76</v>
      </c>
      <c r="I231" s="6">
        <v>77</v>
      </c>
      <c r="M231" s="6">
        <f t="shared" si="0"/>
        <v>223</v>
      </c>
      <c r="N231" s="15">
        <f t="shared" ref="N231:N239" si="26">M231</f>
        <v>223</v>
      </c>
    </row>
    <row r="232" spans="1:14">
      <c r="A232" s="15" t="s">
        <v>59</v>
      </c>
      <c r="B232" s="16" t="s">
        <v>14</v>
      </c>
      <c r="C232" s="15" t="s">
        <v>49</v>
      </c>
      <c r="D232" s="15" t="s">
        <v>7</v>
      </c>
      <c r="E232" s="15" t="s">
        <v>381</v>
      </c>
      <c r="F232" s="15" t="s">
        <v>383</v>
      </c>
      <c r="G232" s="6">
        <v>89</v>
      </c>
      <c r="H232" s="6">
        <v>91</v>
      </c>
      <c r="I232" s="6">
        <v>88</v>
      </c>
      <c r="M232" s="6">
        <f t="shared" si="0"/>
        <v>268</v>
      </c>
      <c r="N232" s="15">
        <f t="shared" si="26"/>
        <v>268</v>
      </c>
    </row>
    <row r="233" spans="1:14">
      <c r="A233" s="15" t="s">
        <v>170</v>
      </c>
      <c r="B233" s="16" t="s">
        <v>21</v>
      </c>
      <c r="C233" s="15" t="s">
        <v>49</v>
      </c>
      <c r="D233" s="15" t="s">
        <v>7</v>
      </c>
      <c r="E233" s="15" t="s">
        <v>381</v>
      </c>
      <c r="F233" s="15" t="s">
        <v>383</v>
      </c>
      <c r="G233" s="6">
        <v>88</v>
      </c>
      <c r="H233" s="6">
        <v>87</v>
      </c>
      <c r="I233" s="6">
        <v>76</v>
      </c>
      <c r="M233" s="6">
        <f t="shared" si="0"/>
        <v>251</v>
      </c>
      <c r="N233" s="15">
        <f t="shared" si="26"/>
        <v>251</v>
      </c>
    </row>
    <row r="234" spans="1:14">
      <c r="A234" s="15" t="s">
        <v>273</v>
      </c>
      <c r="B234" s="16" t="s">
        <v>21</v>
      </c>
      <c r="C234" s="15" t="s">
        <v>382</v>
      </c>
      <c r="D234" s="15" t="s">
        <v>7</v>
      </c>
      <c r="E234" s="15" t="s">
        <v>381</v>
      </c>
      <c r="F234" s="15" t="s">
        <v>383</v>
      </c>
      <c r="G234" s="6">
        <v>67</v>
      </c>
      <c r="H234" s="6">
        <v>54</v>
      </c>
      <c r="I234" s="6">
        <v>72</v>
      </c>
      <c r="M234" s="6">
        <f t="shared" si="0"/>
        <v>193</v>
      </c>
      <c r="N234" s="15">
        <f t="shared" si="26"/>
        <v>193</v>
      </c>
    </row>
    <row r="235" spans="1:14">
      <c r="A235" s="15" t="s">
        <v>87</v>
      </c>
      <c r="B235" s="16" t="s">
        <v>22</v>
      </c>
      <c r="C235" s="15" t="s">
        <v>49</v>
      </c>
      <c r="D235" s="15" t="s">
        <v>7</v>
      </c>
      <c r="E235" s="15" t="s">
        <v>381</v>
      </c>
      <c r="F235" s="15" t="s">
        <v>383</v>
      </c>
      <c r="G235" s="6">
        <v>82</v>
      </c>
      <c r="H235" s="6">
        <v>91</v>
      </c>
      <c r="I235" s="6">
        <v>83</v>
      </c>
      <c r="M235" s="6">
        <f t="shared" si="0"/>
        <v>256</v>
      </c>
      <c r="N235" s="15">
        <f t="shared" si="26"/>
        <v>256</v>
      </c>
    </row>
    <row r="236" spans="1:14">
      <c r="A236" s="15" t="s">
        <v>267</v>
      </c>
      <c r="B236" s="16" t="s">
        <v>22</v>
      </c>
      <c r="C236" s="15" t="s">
        <v>382</v>
      </c>
      <c r="D236" s="15" t="s">
        <v>7</v>
      </c>
      <c r="E236" s="15" t="s">
        <v>381</v>
      </c>
      <c r="F236" s="15" t="s">
        <v>383</v>
      </c>
      <c r="G236" s="6">
        <v>74</v>
      </c>
      <c r="H236" s="6">
        <v>74</v>
      </c>
      <c r="I236" s="6">
        <v>76</v>
      </c>
      <c r="M236" s="6">
        <f t="shared" si="0"/>
        <v>224</v>
      </c>
      <c r="N236" s="15">
        <f t="shared" si="26"/>
        <v>224</v>
      </c>
    </row>
    <row r="237" spans="1:14">
      <c r="A237" s="15" t="s">
        <v>67</v>
      </c>
      <c r="B237" s="16" t="s">
        <v>15</v>
      </c>
      <c r="C237" s="15" t="s">
        <v>49</v>
      </c>
      <c r="D237" s="16" t="s">
        <v>7</v>
      </c>
      <c r="E237" s="15" t="s">
        <v>381</v>
      </c>
      <c r="F237" s="15" t="s">
        <v>52</v>
      </c>
      <c r="G237" s="6">
        <v>90</v>
      </c>
      <c r="H237" s="6">
        <v>87</v>
      </c>
      <c r="I237" s="6">
        <v>93</v>
      </c>
      <c r="M237" s="6">
        <f t="shared" si="0"/>
        <v>270</v>
      </c>
      <c r="N237" s="15">
        <f t="shared" si="26"/>
        <v>270</v>
      </c>
    </row>
    <row r="238" spans="1:14">
      <c r="A238" s="15" t="s">
        <v>60</v>
      </c>
      <c r="B238" s="16" t="s">
        <v>13</v>
      </c>
      <c r="C238" s="15" t="s">
        <v>49</v>
      </c>
      <c r="D238" s="16" t="s">
        <v>8</v>
      </c>
      <c r="E238" s="15" t="s">
        <v>381</v>
      </c>
      <c r="F238" s="15" t="s">
        <v>52</v>
      </c>
      <c r="G238" s="6">
        <v>83</v>
      </c>
      <c r="H238" s="6">
        <v>79</v>
      </c>
      <c r="I238" s="6">
        <v>86</v>
      </c>
      <c r="M238" s="6">
        <f t="shared" si="0"/>
        <v>248</v>
      </c>
      <c r="N238" s="15">
        <f t="shared" si="26"/>
        <v>248</v>
      </c>
    </row>
    <row r="239" spans="1:14">
      <c r="A239" s="15" t="s">
        <v>224</v>
      </c>
      <c r="B239" s="16" t="s">
        <v>13</v>
      </c>
      <c r="C239" s="15" t="s">
        <v>382</v>
      </c>
      <c r="D239" s="16" t="s">
        <v>8</v>
      </c>
      <c r="E239" s="15" t="s">
        <v>381</v>
      </c>
      <c r="F239" s="15" t="s">
        <v>52</v>
      </c>
      <c r="G239" s="6">
        <v>88</v>
      </c>
      <c r="H239" s="6">
        <v>86</v>
      </c>
      <c r="I239" s="6">
        <v>88</v>
      </c>
      <c r="M239" s="6">
        <f t="shared" si="0"/>
        <v>262</v>
      </c>
      <c r="N239" s="15">
        <f t="shared" si="26"/>
        <v>262</v>
      </c>
    </row>
    <row r="240" spans="1:14">
      <c r="A240" s="15" t="s">
        <v>58</v>
      </c>
      <c r="B240" s="16" t="s">
        <v>13</v>
      </c>
      <c r="C240" s="15" t="s">
        <v>49</v>
      </c>
      <c r="D240" s="16" t="s">
        <v>8</v>
      </c>
      <c r="E240" s="15" t="s">
        <v>51</v>
      </c>
      <c r="F240" s="15" t="s">
        <v>52</v>
      </c>
      <c r="G240" s="6">
        <v>75</v>
      </c>
      <c r="H240" s="6">
        <v>67</v>
      </c>
      <c r="I240" s="6">
        <v>85</v>
      </c>
      <c r="M240" s="6">
        <f t="shared" si="0"/>
        <v>227</v>
      </c>
      <c r="N240" s="15"/>
    </row>
    <row r="241" spans="1:14">
      <c r="A241" s="15" t="s">
        <v>115</v>
      </c>
      <c r="B241" s="16" t="s">
        <v>13</v>
      </c>
      <c r="C241" s="15" t="s">
        <v>49</v>
      </c>
      <c r="D241" s="16" t="s">
        <v>8</v>
      </c>
      <c r="E241" s="15" t="s">
        <v>51</v>
      </c>
      <c r="F241" s="15" t="s">
        <v>52</v>
      </c>
      <c r="G241" s="6">
        <v>78</v>
      </c>
      <c r="H241" s="6">
        <v>74</v>
      </c>
      <c r="I241" s="6">
        <v>71</v>
      </c>
      <c r="M241" s="6">
        <f t="shared" si="0"/>
        <v>223</v>
      </c>
      <c r="N241" s="15"/>
    </row>
    <row r="242" spans="1:14">
      <c r="A242" s="15" t="s">
        <v>68</v>
      </c>
      <c r="B242" s="16" t="s">
        <v>13</v>
      </c>
      <c r="C242" s="15" t="s">
        <v>49</v>
      </c>
      <c r="D242" s="16" t="s">
        <v>8</v>
      </c>
      <c r="E242" s="15" t="s">
        <v>381</v>
      </c>
      <c r="F242" s="15" t="s">
        <v>52</v>
      </c>
      <c r="G242" s="6">
        <v>81</v>
      </c>
      <c r="H242" s="6">
        <v>81</v>
      </c>
      <c r="I242" s="6">
        <v>81</v>
      </c>
      <c r="M242" s="6">
        <f t="shared" si="0"/>
        <v>243</v>
      </c>
      <c r="N242" s="15">
        <f t="shared" ref="N242:N245" si="27">M242</f>
        <v>243</v>
      </c>
    </row>
    <row r="243" spans="1:14">
      <c r="A243" s="15" t="s">
        <v>113</v>
      </c>
      <c r="B243" s="15" t="s">
        <v>16</v>
      </c>
      <c r="C243" s="15" t="s">
        <v>49</v>
      </c>
      <c r="D243" s="16" t="s">
        <v>8</v>
      </c>
      <c r="E243" s="15" t="s">
        <v>381</v>
      </c>
      <c r="F243" s="15" t="s">
        <v>52</v>
      </c>
      <c r="G243" s="6">
        <v>80</v>
      </c>
      <c r="H243" s="6">
        <v>73</v>
      </c>
      <c r="I243" s="6">
        <v>82</v>
      </c>
      <c r="M243" s="6">
        <f t="shared" si="0"/>
        <v>235</v>
      </c>
      <c r="N243" s="15">
        <f t="shared" si="27"/>
        <v>235</v>
      </c>
    </row>
    <row r="244" spans="1:14">
      <c r="A244" s="15" t="s">
        <v>105</v>
      </c>
      <c r="B244" s="16" t="s">
        <v>16</v>
      </c>
      <c r="C244" s="15" t="s">
        <v>49</v>
      </c>
      <c r="D244" s="16" t="s">
        <v>8</v>
      </c>
      <c r="E244" s="15" t="s">
        <v>381</v>
      </c>
      <c r="F244" s="15" t="s">
        <v>52</v>
      </c>
      <c r="G244" s="6">
        <v>80</v>
      </c>
      <c r="H244" s="6">
        <v>76</v>
      </c>
      <c r="I244" s="6">
        <v>79</v>
      </c>
      <c r="M244" s="6">
        <f t="shared" si="0"/>
        <v>235</v>
      </c>
      <c r="N244" s="15">
        <f t="shared" si="27"/>
        <v>235</v>
      </c>
    </row>
    <row r="245" spans="1:14">
      <c r="A245" s="15" t="s">
        <v>245</v>
      </c>
      <c r="B245" s="15" t="s">
        <v>16</v>
      </c>
      <c r="C245" s="15" t="s">
        <v>382</v>
      </c>
      <c r="D245" s="16" t="s">
        <v>8</v>
      </c>
      <c r="E245" s="15" t="s">
        <v>381</v>
      </c>
      <c r="F245" s="15" t="s">
        <v>52</v>
      </c>
      <c r="G245" s="6">
        <v>39</v>
      </c>
      <c r="H245" s="6">
        <v>49</v>
      </c>
      <c r="I245" s="6">
        <v>45</v>
      </c>
      <c r="M245" s="6">
        <f t="shared" si="0"/>
        <v>133</v>
      </c>
      <c r="N245" s="15">
        <f t="shared" si="27"/>
        <v>133</v>
      </c>
    </row>
    <row r="246" spans="1:14">
      <c r="A246" s="15" t="s">
        <v>201</v>
      </c>
      <c r="B246" s="16" t="s">
        <v>16</v>
      </c>
      <c r="C246" s="15" t="s">
        <v>49</v>
      </c>
      <c r="D246" s="16" t="s">
        <v>8</v>
      </c>
      <c r="E246" s="15" t="s">
        <v>51</v>
      </c>
      <c r="F246" s="15" t="s">
        <v>52</v>
      </c>
      <c r="G246" s="6">
        <v>76</v>
      </c>
      <c r="H246" s="6">
        <v>50</v>
      </c>
      <c r="I246" s="6">
        <v>11</v>
      </c>
      <c r="M246" s="6">
        <f t="shared" si="0"/>
        <v>137</v>
      </c>
      <c r="N246" s="15"/>
    </row>
    <row r="247" spans="1:14">
      <c r="A247" s="15" t="s">
        <v>142</v>
      </c>
      <c r="B247" s="16" t="s">
        <v>16</v>
      </c>
      <c r="C247" s="15" t="s">
        <v>49</v>
      </c>
      <c r="D247" s="16" t="s">
        <v>8</v>
      </c>
      <c r="E247" s="15" t="s">
        <v>51</v>
      </c>
      <c r="F247" s="15" t="s">
        <v>52</v>
      </c>
      <c r="G247" s="6">
        <v>69</v>
      </c>
      <c r="H247" s="6">
        <v>59</v>
      </c>
      <c r="I247" s="6">
        <v>66</v>
      </c>
      <c r="M247" s="6">
        <f t="shared" si="0"/>
        <v>194</v>
      </c>
      <c r="N247" s="15"/>
    </row>
    <row r="248" spans="1:14">
      <c r="A248" s="15" t="s">
        <v>116</v>
      </c>
      <c r="B248" s="16" t="s">
        <v>25</v>
      </c>
      <c r="C248" s="15" t="s">
        <v>49</v>
      </c>
      <c r="D248" s="16" t="s">
        <v>8</v>
      </c>
      <c r="E248" s="15" t="s">
        <v>381</v>
      </c>
      <c r="F248" s="15" t="s">
        <v>52</v>
      </c>
      <c r="G248" s="6">
        <v>65</v>
      </c>
      <c r="H248" s="6">
        <v>75</v>
      </c>
      <c r="I248" s="6">
        <v>71</v>
      </c>
      <c r="M248" s="6">
        <f t="shared" si="0"/>
        <v>211</v>
      </c>
      <c r="N248" s="15">
        <f t="shared" ref="N248:N250" si="28">M248</f>
        <v>211</v>
      </c>
    </row>
    <row r="249" spans="1:14">
      <c r="A249" s="15" t="s">
        <v>191</v>
      </c>
      <c r="B249" s="15" t="s">
        <v>25</v>
      </c>
      <c r="C249" s="15" t="s">
        <v>49</v>
      </c>
      <c r="D249" s="16" t="s">
        <v>8</v>
      </c>
      <c r="E249" s="15" t="s">
        <v>381</v>
      </c>
      <c r="F249" s="15" t="s">
        <v>52</v>
      </c>
      <c r="G249" s="6">
        <v>66</v>
      </c>
      <c r="H249" s="6">
        <v>68</v>
      </c>
      <c r="I249" s="6">
        <v>59</v>
      </c>
      <c r="M249" s="6">
        <f t="shared" si="0"/>
        <v>193</v>
      </c>
      <c r="N249" s="15">
        <f t="shared" si="28"/>
        <v>193</v>
      </c>
    </row>
    <row r="250" spans="1:14">
      <c r="A250" s="15" t="s">
        <v>241</v>
      </c>
      <c r="B250" s="16" t="s">
        <v>25</v>
      </c>
      <c r="C250" s="15" t="s">
        <v>382</v>
      </c>
      <c r="D250" s="16" t="s">
        <v>8</v>
      </c>
      <c r="E250" s="15" t="s">
        <v>381</v>
      </c>
      <c r="F250" s="15" t="s">
        <v>52</v>
      </c>
      <c r="G250" s="6">
        <v>65</v>
      </c>
      <c r="H250" s="6">
        <v>64</v>
      </c>
      <c r="I250" s="6">
        <v>57</v>
      </c>
      <c r="M250" s="6">
        <f t="shared" si="0"/>
        <v>186</v>
      </c>
      <c r="N250" s="15">
        <f t="shared" si="28"/>
        <v>186</v>
      </c>
    </row>
    <row r="251" spans="1:14">
      <c r="A251" s="15" t="s">
        <v>124</v>
      </c>
      <c r="B251" s="16" t="s">
        <v>27</v>
      </c>
      <c r="C251" s="15" t="s">
        <v>49</v>
      </c>
      <c r="D251" s="16" t="s">
        <v>8</v>
      </c>
      <c r="E251" s="15" t="s">
        <v>51</v>
      </c>
      <c r="F251" s="15" t="s">
        <v>52</v>
      </c>
      <c r="G251" s="6">
        <v>73</v>
      </c>
      <c r="H251" s="6">
        <v>73</v>
      </c>
      <c r="I251" s="6">
        <v>76</v>
      </c>
      <c r="M251" s="6">
        <f t="shared" si="0"/>
        <v>222</v>
      </c>
      <c r="N251" s="15"/>
    </row>
    <row r="252" spans="1:14">
      <c r="A252" s="15" t="s">
        <v>94</v>
      </c>
      <c r="B252" s="16" t="s">
        <v>27</v>
      </c>
      <c r="C252" s="15" t="s">
        <v>49</v>
      </c>
      <c r="D252" s="16" t="s">
        <v>8</v>
      </c>
      <c r="E252" s="15" t="s">
        <v>381</v>
      </c>
      <c r="F252" s="15" t="s">
        <v>52</v>
      </c>
      <c r="G252" s="6">
        <v>82</v>
      </c>
      <c r="H252" s="6">
        <v>90</v>
      </c>
      <c r="I252" s="6">
        <v>80</v>
      </c>
      <c r="M252" s="6">
        <f t="shared" si="0"/>
        <v>252</v>
      </c>
      <c r="N252" s="15">
        <f t="shared" ref="N252:N253" si="29">M252</f>
        <v>252</v>
      </c>
    </row>
    <row r="253" spans="1:14">
      <c r="A253" s="15" t="s">
        <v>223</v>
      </c>
      <c r="B253" s="16" t="s">
        <v>27</v>
      </c>
      <c r="C253" s="15" t="s">
        <v>382</v>
      </c>
      <c r="D253" s="16" t="s">
        <v>8</v>
      </c>
      <c r="E253" s="15" t="s">
        <v>381</v>
      </c>
      <c r="F253" s="15" t="s">
        <v>52</v>
      </c>
      <c r="G253" s="6">
        <v>84</v>
      </c>
      <c r="H253" s="6">
        <v>81</v>
      </c>
      <c r="I253" s="6">
        <v>81</v>
      </c>
      <c r="M253" s="6">
        <f t="shared" si="0"/>
        <v>246</v>
      </c>
      <c r="N253" s="15">
        <f t="shared" si="29"/>
        <v>246</v>
      </c>
    </row>
    <row r="254" spans="1:14">
      <c r="A254" s="15" t="s">
        <v>137</v>
      </c>
      <c r="B254" s="15" t="s">
        <v>27</v>
      </c>
      <c r="C254" s="15" t="s">
        <v>49</v>
      </c>
      <c r="D254" s="16" t="s">
        <v>8</v>
      </c>
      <c r="E254" s="15" t="s">
        <v>51</v>
      </c>
      <c r="F254" s="15" t="s">
        <v>52</v>
      </c>
      <c r="G254" s="6">
        <v>72</v>
      </c>
      <c r="H254" s="6">
        <v>67</v>
      </c>
      <c r="I254" s="6">
        <v>82</v>
      </c>
      <c r="M254" s="6">
        <f t="shared" si="0"/>
        <v>221</v>
      </c>
      <c r="N254" s="15"/>
    </row>
    <row r="255" spans="1:14">
      <c r="A255" s="15" t="s">
        <v>82</v>
      </c>
      <c r="B255" s="16" t="s">
        <v>17</v>
      </c>
      <c r="C255" s="15" t="s">
        <v>49</v>
      </c>
      <c r="D255" s="16" t="s">
        <v>8</v>
      </c>
      <c r="E255" s="15" t="s">
        <v>381</v>
      </c>
      <c r="F255" s="15" t="s">
        <v>52</v>
      </c>
      <c r="G255" s="6">
        <v>74</v>
      </c>
      <c r="H255" s="6">
        <v>81</v>
      </c>
      <c r="I255" s="6">
        <v>80</v>
      </c>
      <c r="M255" s="6">
        <f t="shared" si="0"/>
        <v>235</v>
      </c>
      <c r="N255" s="15">
        <f t="shared" ref="N255:N259" si="30">M255</f>
        <v>235</v>
      </c>
    </row>
    <row r="256" spans="1:14">
      <c r="A256" s="15" t="s">
        <v>79</v>
      </c>
      <c r="B256" s="16" t="s">
        <v>17</v>
      </c>
      <c r="C256" s="15" t="s">
        <v>49</v>
      </c>
      <c r="D256" s="16" t="s">
        <v>8</v>
      </c>
      <c r="E256" s="15" t="s">
        <v>381</v>
      </c>
      <c r="F256" s="15" t="s">
        <v>52</v>
      </c>
      <c r="G256" s="6">
        <v>74</v>
      </c>
      <c r="H256" s="6">
        <v>83</v>
      </c>
      <c r="I256" s="6">
        <v>79</v>
      </c>
      <c r="M256" s="6">
        <f t="shared" si="0"/>
        <v>236</v>
      </c>
      <c r="N256" s="15">
        <f t="shared" si="30"/>
        <v>236</v>
      </c>
    </row>
    <row r="257" spans="1:14">
      <c r="A257" s="15" t="s">
        <v>244</v>
      </c>
      <c r="B257" s="16" t="s">
        <v>17</v>
      </c>
      <c r="C257" s="15" t="s">
        <v>382</v>
      </c>
      <c r="D257" s="16" t="s">
        <v>8</v>
      </c>
      <c r="E257" s="15" t="s">
        <v>381</v>
      </c>
      <c r="F257" s="15" t="s">
        <v>52</v>
      </c>
      <c r="G257" s="6">
        <v>46</v>
      </c>
      <c r="H257" s="6">
        <v>55</v>
      </c>
      <c r="I257" s="6">
        <v>61</v>
      </c>
      <c r="M257" s="6">
        <f t="shared" ref="M257:M482" si="31">SUM(G257,H257,I257,J257,K257,L257)</f>
        <v>162</v>
      </c>
      <c r="N257" s="15">
        <f t="shared" si="30"/>
        <v>162</v>
      </c>
    </row>
    <row r="258" spans="1:14">
      <c r="A258" s="15" t="s">
        <v>139</v>
      </c>
      <c r="B258" s="16" t="s">
        <v>26</v>
      </c>
      <c r="C258" s="15" t="s">
        <v>49</v>
      </c>
      <c r="D258" s="16" t="s">
        <v>8</v>
      </c>
      <c r="E258" s="15" t="s">
        <v>381</v>
      </c>
      <c r="F258" s="15" t="s">
        <v>52</v>
      </c>
      <c r="G258" s="6">
        <v>51</v>
      </c>
      <c r="H258" s="6">
        <v>53</v>
      </c>
      <c r="I258" s="6">
        <v>49</v>
      </c>
      <c r="M258" s="6">
        <f t="shared" si="31"/>
        <v>153</v>
      </c>
      <c r="N258" s="15">
        <f t="shared" si="30"/>
        <v>153</v>
      </c>
    </row>
    <row r="259" spans="1:14">
      <c r="A259" s="15" t="s">
        <v>136</v>
      </c>
      <c r="B259" s="16" t="s">
        <v>26</v>
      </c>
      <c r="C259" s="15" t="s">
        <v>49</v>
      </c>
      <c r="D259" s="16" t="s">
        <v>8</v>
      </c>
      <c r="E259" s="15" t="s">
        <v>381</v>
      </c>
      <c r="F259" s="15" t="s">
        <v>52</v>
      </c>
      <c r="G259" s="6">
        <v>81</v>
      </c>
      <c r="H259" s="6">
        <v>74</v>
      </c>
      <c r="I259" s="6">
        <v>56</v>
      </c>
      <c r="M259" s="6">
        <f t="shared" si="31"/>
        <v>211</v>
      </c>
      <c r="N259" s="15">
        <f t="shared" si="30"/>
        <v>211</v>
      </c>
    </row>
    <row r="260" spans="1:14">
      <c r="A260" s="15" t="s">
        <v>183</v>
      </c>
      <c r="B260" s="16" t="s">
        <v>15</v>
      </c>
      <c r="C260" s="15" t="s">
        <v>49</v>
      </c>
      <c r="D260" s="16" t="s">
        <v>8</v>
      </c>
      <c r="E260" s="15" t="s">
        <v>51</v>
      </c>
      <c r="F260" s="15" t="s">
        <v>52</v>
      </c>
      <c r="G260" s="6">
        <v>78</v>
      </c>
      <c r="H260" s="6">
        <v>78</v>
      </c>
      <c r="I260" s="6">
        <v>78</v>
      </c>
      <c r="M260" s="6">
        <f t="shared" si="31"/>
        <v>234</v>
      </c>
      <c r="N260" s="15"/>
    </row>
    <row r="261" spans="1:14">
      <c r="A261" s="15" t="s">
        <v>120</v>
      </c>
      <c r="B261" s="16" t="s">
        <v>15</v>
      </c>
      <c r="C261" s="15" t="s">
        <v>49</v>
      </c>
      <c r="D261" s="16" t="s">
        <v>8</v>
      </c>
      <c r="E261" s="15" t="s">
        <v>381</v>
      </c>
      <c r="F261" s="15" t="s">
        <v>52</v>
      </c>
      <c r="G261" s="6">
        <v>74</v>
      </c>
      <c r="H261" s="6">
        <v>82</v>
      </c>
      <c r="I261" s="6">
        <v>82</v>
      </c>
      <c r="M261" s="6">
        <f t="shared" si="31"/>
        <v>238</v>
      </c>
      <c r="N261" s="15">
        <f t="shared" ref="N261:N265" si="32">M261</f>
        <v>238</v>
      </c>
    </row>
    <row r="262" spans="1:14">
      <c r="A262" s="15" t="s">
        <v>236</v>
      </c>
      <c r="B262" s="16" t="s">
        <v>15</v>
      </c>
      <c r="C262" s="15" t="s">
        <v>382</v>
      </c>
      <c r="D262" s="16" t="s">
        <v>8</v>
      </c>
      <c r="E262" s="15" t="s">
        <v>381</v>
      </c>
      <c r="F262" s="15" t="s">
        <v>52</v>
      </c>
      <c r="G262" s="6">
        <v>69</v>
      </c>
      <c r="H262" s="6">
        <v>62</v>
      </c>
      <c r="I262" s="6">
        <v>68</v>
      </c>
      <c r="M262" s="6">
        <f t="shared" si="31"/>
        <v>199</v>
      </c>
      <c r="N262" s="15">
        <f t="shared" si="32"/>
        <v>199</v>
      </c>
    </row>
    <row r="263" spans="1:14">
      <c r="A263" s="15" t="s">
        <v>240</v>
      </c>
      <c r="B263" s="16" t="s">
        <v>28</v>
      </c>
      <c r="C263" s="15" t="s">
        <v>382</v>
      </c>
      <c r="D263" s="16" t="s">
        <v>8</v>
      </c>
      <c r="E263" s="15" t="s">
        <v>381</v>
      </c>
      <c r="F263" s="15" t="s">
        <v>52</v>
      </c>
      <c r="G263" s="6">
        <v>30</v>
      </c>
      <c r="H263" s="6">
        <v>63</v>
      </c>
      <c r="I263" s="6">
        <v>59</v>
      </c>
      <c r="M263" s="6">
        <f t="shared" si="31"/>
        <v>152</v>
      </c>
      <c r="N263" s="15">
        <f t="shared" si="32"/>
        <v>152</v>
      </c>
    </row>
    <row r="264" spans="1:14">
      <c r="A264" s="15" t="s">
        <v>237</v>
      </c>
      <c r="B264" s="16" t="s">
        <v>28</v>
      </c>
      <c r="C264" s="15" t="s">
        <v>382</v>
      </c>
      <c r="D264" s="16" t="s">
        <v>8</v>
      </c>
      <c r="E264" s="15" t="s">
        <v>381</v>
      </c>
      <c r="F264" s="15" t="s">
        <v>52</v>
      </c>
      <c r="G264" s="6">
        <v>88</v>
      </c>
      <c r="H264" s="6">
        <v>89</v>
      </c>
      <c r="I264" s="6">
        <v>80</v>
      </c>
      <c r="M264" s="6">
        <f t="shared" si="31"/>
        <v>257</v>
      </c>
      <c r="N264" s="15">
        <f t="shared" si="32"/>
        <v>257</v>
      </c>
    </row>
    <row r="265" spans="1:14">
      <c r="A265" s="15" t="s">
        <v>138</v>
      </c>
      <c r="B265" s="16" t="s">
        <v>28</v>
      </c>
      <c r="C265" s="15" t="s">
        <v>49</v>
      </c>
      <c r="D265" s="16" t="s">
        <v>8</v>
      </c>
      <c r="E265" s="15" t="s">
        <v>381</v>
      </c>
      <c r="F265" s="15" t="s">
        <v>52</v>
      </c>
      <c r="G265" s="6">
        <v>76</v>
      </c>
      <c r="H265" s="6">
        <v>62</v>
      </c>
      <c r="I265" s="6">
        <v>80</v>
      </c>
      <c r="M265" s="6">
        <f t="shared" si="31"/>
        <v>218</v>
      </c>
      <c r="N265" s="15">
        <f t="shared" si="32"/>
        <v>218</v>
      </c>
    </row>
    <row r="266" spans="1:14">
      <c r="A266" s="15" t="s">
        <v>200</v>
      </c>
      <c r="B266" s="16" t="s">
        <v>28</v>
      </c>
      <c r="C266" s="15" t="s">
        <v>49</v>
      </c>
      <c r="D266" s="16" t="s">
        <v>8</v>
      </c>
      <c r="E266" s="15" t="s">
        <v>51</v>
      </c>
      <c r="F266" s="15" t="s">
        <v>52</v>
      </c>
      <c r="G266" s="6">
        <v>67</v>
      </c>
      <c r="H266" s="6">
        <v>42</v>
      </c>
      <c r="I266" s="6">
        <v>31</v>
      </c>
      <c r="M266" s="6">
        <f t="shared" si="31"/>
        <v>140</v>
      </c>
      <c r="N266" s="15"/>
    </row>
    <row r="267" spans="1:14">
      <c r="A267" s="15" t="s">
        <v>234</v>
      </c>
      <c r="B267" s="16" t="s">
        <v>21</v>
      </c>
      <c r="C267" s="15" t="s">
        <v>382</v>
      </c>
      <c r="D267" s="16" t="s">
        <v>8</v>
      </c>
      <c r="E267" s="15" t="s">
        <v>381</v>
      </c>
      <c r="F267" s="15" t="s">
        <v>52</v>
      </c>
      <c r="G267" s="6">
        <v>79</v>
      </c>
      <c r="H267" s="6">
        <v>66</v>
      </c>
      <c r="I267" s="6">
        <v>58</v>
      </c>
      <c r="M267" s="6">
        <f t="shared" si="31"/>
        <v>203</v>
      </c>
      <c r="N267" s="15">
        <f t="shared" ref="N267:N275" si="33">M267</f>
        <v>203</v>
      </c>
    </row>
    <row r="268" spans="1:14">
      <c r="A268" s="15" t="s">
        <v>103</v>
      </c>
      <c r="B268" s="16" t="s">
        <v>15</v>
      </c>
      <c r="C268" s="15" t="s">
        <v>49</v>
      </c>
      <c r="D268" s="16" t="s">
        <v>8</v>
      </c>
      <c r="E268" s="15" t="s">
        <v>381</v>
      </c>
      <c r="F268" s="15" t="s">
        <v>52</v>
      </c>
      <c r="G268" s="6">
        <v>81</v>
      </c>
      <c r="H268" s="6">
        <v>80</v>
      </c>
      <c r="I268" s="6">
        <v>86</v>
      </c>
      <c r="M268" s="6">
        <f t="shared" si="31"/>
        <v>247</v>
      </c>
      <c r="N268" s="15">
        <f t="shared" si="33"/>
        <v>247</v>
      </c>
    </row>
    <row r="269" spans="1:14">
      <c r="A269" s="15" t="s">
        <v>110</v>
      </c>
      <c r="B269" s="16" t="s">
        <v>24</v>
      </c>
      <c r="C269" s="15" t="s">
        <v>49</v>
      </c>
      <c r="D269" s="16" t="s">
        <v>8</v>
      </c>
      <c r="E269" s="15" t="s">
        <v>381</v>
      </c>
      <c r="F269" s="15" t="s">
        <v>383</v>
      </c>
      <c r="G269" s="6">
        <v>75</v>
      </c>
      <c r="H269" s="6">
        <v>63</v>
      </c>
      <c r="I269" s="6">
        <v>74</v>
      </c>
      <c r="M269" s="6">
        <f t="shared" si="31"/>
        <v>212</v>
      </c>
      <c r="N269" s="15">
        <f t="shared" si="33"/>
        <v>212</v>
      </c>
    </row>
    <row r="270" spans="1:14">
      <c r="A270" s="15" t="s">
        <v>112</v>
      </c>
      <c r="B270" s="16" t="s">
        <v>24</v>
      </c>
      <c r="C270" s="15" t="s">
        <v>49</v>
      </c>
      <c r="D270" s="16" t="s">
        <v>8</v>
      </c>
      <c r="E270" s="15" t="s">
        <v>381</v>
      </c>
      <c r="F270" s="15" t="s">
        <v>383</v>
      </c>
      <c r="G270" s="6">
        <v>75</v>
      </c>
      <c r="H270" s="6">
        <v>76</v>
      </c>
      <c r="I270" s="6">
        <v>77</v>
      </c>
      <c r="M270" s="6">
        <f t="shared" si="31"/>
        <v>228</v>
      </c>
      <c r="N270" s="15">
        <f t="shared" si="33"/>
        <v>228</v>
      </c>
    </row>
    <row r="271" spans="1:14">
      <c r="A271" s="15" t="s">
        <v>243</v>
      </c>
      <c r="B271" s="16" t="s">
        <v>24</v>
      </c>
      <c r="C271" s="15" t="s">
        <v>382</v>
      </c>
      <c r="D271" s="16" t="s">
        <v>8</v>
      </c>
      <c r="E271" s="15" t="s">
        <v>381</v>
      </c>
      <c r="F271" s="15" t="s">
        <v>383</v>
      </c>
      <c r="G271" s="6">
        <v>55</v>
      </c>
      <c r="H271" s="6">
        <v>62</v>
      </c>
      <c r="I271" s="6">
        <v>56</v>
      </c>
      <c r="M271" s="6">
        <f t="shared" si="31"/>
        <v>173</v>
      </c>
      <c r="N271" s="15">
        <f t="shared" si="33"/>
        <v>173</v>
      </c>
    </row>
    <row r="272" spans="1:14">
      <c r="A272" s="15" t="s">
        <v>176</v>
      </c>
      <c r="B272" s="16" t="s">
        <v>27</v>
      </c>
      <c r="C272" s="15" t="s">
        <v>49</v>
      </c>
      <c r="D272" s="16" t="s">
        <v>8</v>
      </c>
      <c r="E272" s="15" t="s">
        <v>381</v>
      </c>
      <c r="F272" s="15" t="s">
        <v>383</v>
      </c>
      <c r="G272" s="6">
        <v>83</v>
      </c>
      <c r="H272" s="6">
        <v>79</v>
      </c>
      <c r="I272" s="6">
        <v>82</v>
      </c>
      <c r="M272" s="6">
        <f t="shared" si="31"/>
        <v>244</v>
      </c>
      <c r="N272" s="15">
        <f t="shared" si="33"/>
        <v>244</v>
      </c>
    </row>
    <row r="273" spans="1:14">
      <c r="A273" s="15" t="s">
        <v>130</v>
      </c>
      <c r="B273" s="16" t="s">
        <v>18</v>
      </c>
      <c r="C273" s="15" t="s">
        <v>49</v>
      </c>
      <c r="D273" s="16" t="s">
        <v>8</v>
      </c>
      <c r="E273" s="15" t="s">
        <v>381</v>
      </c>
      <c r="F273" s="15" t="s">
        <v>383</v>
      </c>
      <c r="G273" s="6">
        <v>63</v>
      </c>
      <c r="H273" s="6">
        <v>60</v>
      </c>
      <c r="I273" s="6">
        <v>57</v>
      </c>
      <c r="M273" s="6">
        <f t="shared" si="31"/>
        <v>180</v>
      </c>
      <c r="N273" s="15">
        <f t="shared" si="33"/>
        <v>180</v>
      </c>
    </row>
    <row r="274" spans="1:14">
      <c r="A274" s="15" t="s">
        <v>61</v>
      </c>
      <c r="B274" s="16" t="s">
        <v>18</v>
      </c>
      <c r="C274" s="15" t="s">
        <v>49</v>
      </c>
      <c r="D274" s="16" t="s">
        <v>8</v>
      </c>
      <c r="E274" s="15" t="s">
        <v>381</v>
      </c>
      <c r="F274" s="15" t="s">
        <v>383</v>
      </c>
      <c r="G274" s="6">
        <v>87</v>
      </c>
      <c r="H274" s="6">
        <v>90</v>
      </c>
      <c r="I274" s="6">
        <v>85</v>
      </c>
      <c r="M274" s="6">
        <f t="shared" si="31"/>
        <v>262</v>
      </c>
      <c r="N274" s="15">
        <f t="shared" si="33"/>
        <v>262</v>
      </c>
    </row>
    <row r="275" spans="1:14">
      <c r="A275" s="15" t="s">
        <v>213</v>
      </c>
      <c r="B275" s="16" t="s">
        <v>18</v>
      </c>
      <c r="C275" s="15" t="s">
        <v>382</v>
      </c>
      <c r="D275" s="16" t="s">
        <v>8</v>
      </c>
      <c r="E275" s="15" t="s">
        <v>381</v>
      </c>
      <c r="F275" s="15" t="s">
        <v>383</v>
      </c>
      <c r="G275" s="6">
        <v>79</v>
      </c>
      <c r="H275" s="6">
        <v>84</v>
      </c>
      <c r="I275" s="6">
        <v>74</v>
      </c>
      <c r="M275" s="6">
        <f t="shared" si="31"/>
        <v>237</v>
      </c>
      <c r="N275" s="15">
        <f t="shared" si="33"/>
        <v>237</v>
      </c>
    </row>
    <row r="276" spans="1:14">
      <c r="A276" s="15" t="s">
        <v>125</v>
      </c>
      <c r="B276" s="16" t="s">
        <v>18</v>
      </c>
      <c r="C276" s="15" t="s">
        <v>49</v>
      </c>
      <c r="D276" s="16" t="s">
        <v>8</v>
      </c>
      <c r="E276" s="15" t="s">
        <v>51</v>
      </c>
      <c r="F276" s="15" t="s">
        <v>383</v>
      </c>
      <c r="G276" s="6">
        <v>66</v>
      </c>
      <c r="H276" s="6">
        <v>63</v>
      </c>
      <c r="I276" s="6">
        <v>66</v>
      </c>
      <c r="M276" s="6">
        <f t="shared" si="31"/>
        <v>195</v>
      </c>
      <c r="N276" s="15"/>
    </row>
    <row r="277" spans="1:14">
      <c r="A277" s="15" t="s">
        <v>83</v>
      </c>
      <c r="B277" s="16" t="s">
        <v>23</v>
      </c>
      <c r="C277" s="15" t="s">
        <v>49</v>
      </c>
      <c r="D277" s="16" t="s">
        <v>8</v>
      </c>
      <c r="E277" s="15" t="s">
        <v>381</v>
      </c>
      <c r="F277" s="15" t="s">
        <v>383</v>
      </c>
      <c r="G277" s="6">
        <v>62</v>
      </c>
      <c r="H277" s="6">
        <v>69</v>
      </c>
      <c r="I277" s="6">
        <v>80</v>
      </c>
      <c r="M277" s="6">
        <f t="shared" si="31"/>
        <v>211</v>
      </c>
      <c r="N277" s="15">
        <f t="shared" ref="N277:N281" si="34">M277</f>
        <v>211</v>
      </c>
    </row>
    <row r="278" spans="1:14">
      <c r="A278" s="15" t="s">
        <v>238</v>
      </c>
      <c r="B278" s="16" t="s">
        <v>23</v>
      </c>
      <c r="C278" s="15" t="s">
        <v>382</v>
      </c>
      <c r="D278" s="16" t="s">
        <v>8</v>
      </c>
      <c r="E278" s="15" t="s">
        <v>381</v>
      </c>
      <c r="F278" s="15" t="s">
        <v>383</v>
      </c>
      <c r="G278" s="6">
        <v>54</v>
      </c>
      <c r="H278" s="6">
        <v>52</v>
      </c>
      <c r="I278" s="6">
        <v>59</v>
      </c>
      <c r="M278" s="6">
        <f t="shared" si="31"/>
        <v>165</v>
      </c>
      <c r="N278" s="15">
        <f t="shared" si="34"/>
        <v>165</v>
      </c>
    </row>
    <row r="279" spans="1:14">
      <c r="A279" s="15" t="s">
        <v>131</v>
      </c>
      <c r="B279" s="16" t="s">
        <v>20</v>
      </c>
      <c r="C279" s="15" t="s">
        <v>49</v>
      </c>
      <c r="D279" s="16" t="s">
        <v>8</v>
      </c>
      <c r="E279" s="15" t="s">
        <v>381</v>
      </c>
      <c r="F279" s="15" t="s">
        <v>383</v>
      </c>
      <c r="G279" s="6">
        <v>68</v>
      </c>
      <c r="H279" s="6">
        <v>74</v>
      </c>
      <c r="I279" s="6">
        <v>48</v>
      </c>
      <c r="M279" s="6">
        <f t="shared" si="31"/>
        <v>190</v>
      </c>
      <c r="N279" s="15">
        <f t="shared" si="34"/>
        <v>190</v>
      </c>
    </row>
    <row r="280" spans="1:14">
      <c r="A280" s="15" t="s">
        <v>126</v>
      </c>
      <c r="B280" s="16" t="s">
        <v>20</v>
      </c>
      <c r="C280" s="15" t="s">
        <v>49</v>
      </c>
      <c r="D280" s="16" t="s">
        <v>8</v>
      </c>
      <c r="E280" s="15" t="s">
        <v>381</v>
      </c>
      <c r="F280" s="15" t="s">
        <v>383</v>
      </c>
      <c r="G280" s="6">
        <v>77</v>
      </c>
      <c r="H280" s="6">
        <v>67</v>
      </c>
      <c r="I280" s="6">
        <v>74</v>
      </c>
      <c r="M280" s="6">
        <f t="shared" si="31"/>
        <v>218</v>
      </c>
      <c r="N280" s="15">
        <f t="shared" si="34"/>
        <v>218</v>
      </c>
    </row>
    <row r="281" spans="1:14">
      <c r="A281" s="15" t="s">
        <v>242</v>
      </c>
      <c r="B281" s="16" t="s">
        <v>20</v>
      </c>
      <c r="C281" s="15" t="s">
        <v>382</v>
      </c>
      <c r="D281" s="16" t="s">
        <v>8</v>
      </c>
      <c r="E281" s="15" t="s">
        <v>381</v>
      </c>
      <c r="F281" s="15" t="s">
        <v>383</v>
      </c>
      <c r="G281" s="6">
        <v>43</v>
      </c>
      <c r="H281" s="6">
        <v>52</v>
      </c>
      <c r="I281" s="6">
        <v>50</v>
      </c>
      <c r="M281" s="6">
        <f t="shared" si="31"/>
        <v>145</v>
      </c>
      <c r="N281" s="15">
        <f t="shared" si="34"/>
        <v>145</v>
      </c>
    </row>
    <row r="282" spans="1:14">
      <c r="A282" s="15" t="s">
        <v>55</v>
      </c>
      <c r="B282" s="16" t="s">
        <v>19</v>
      </c>
      <c r="C282" s="15" t="s">
        <v>49</v>
      </c>
      <c r="D282" s="16" t="s">
        <v>8</v>
      </c>
      <c r="E282" s="15" t="s">
        <v>51</v>
      </c>
      <c r="F282" s="15" t="s">
        <v>383</v>
      </c>
      <c r="G282" s="6">
        <v>63</v>
      </c>
      <c r="H282" s="6">
        <v>73</v>
      </c>
      <c r="I282" s="6">
        <v>60</v>
      </c>
      <c r="M282" s="6">
        <f t="shared" si="31"/>
        <v>196</v>
      </c>
      <c r="N282" s="15"/>
    </row>
    <row r="283" spans="1:14">
      <c r="A283" s="15" t="s">
        <v>119</v>
      </c>
      <c r="B283" s="16" t="s">
        <v>19</v>
      </c>
      <c r="C283" s="15" t="s">
        <v>49</v>
      </c>
      <c r="D283" s="16" t="s">
        <v>8</v>
      </c>
      <c r="E283" s="15" t="s">
        <v>381</v>
      </c>
      <c r="F283" s="15" t="s">
        <v>383</v>
      </c>
      <c r="G283" s="6">
        <v>54</v>
      </c>
      <c r="H283" s="6">
        <v>60</v>
      </c>
      <c r="I283" s="6">
        <v>78</v>
      </c>
      <c r="M283" s="6">
        <f t="shared" si="31"/>
        <v>192</v>
      </c>
      <c r="N283" s="15">
        <f t="shared" ref="N283:N285" si="35">M283</f>
        <v>192</v>
      </c>
    </row>
    <row r="284" spans="1:14">
      <c r="A284" s="15" t="s">
        <v>246</v>
      </c>
      <c r="B284" s="16" t="s">
        <v>19</v>
      </c>
      <c r="C284" s="15" t="s">
        <v>382</v>
      </c>
      <c r="D284" s="16" t="s">
        <v>8</v>
      </c>
      <c r="E284" s="15" t="s">
        <v>381</v>
      </c>
      <c r="F284" s="15" t="s">
        <v>383</v>
      </c>
      <c r="G284" s="6">
        <v>55</v>
      </c>
      <c r="H284" s="6">
        <v>74</v>
      </c>
      <c r="I284" s="6">
        <v>64</v>
      </c>
      <c r="M284" s="6">
        <f t="shared" si="31"/>
        <v>193</v>
      </c>
      <c r="N284" s="15">
        <f t="shared" si="35"/>
        <v>193</v>
      </c>
    </row>
    <row r="285" spans="1:14">
      <c r="A285" s="15" t="s">
        <v>185</v>
      </c>
      <c r="B285" s="16" t="s">
        <v>19</v>
      </c>
      <c r="C285" s="15" t="s">
        <v>49</v>
      </c>
      <c r="D285" s="16" t="s">
        <v>8</v>
      </c>
      <c r="E285" s="15" t="s">
        <v>381</v>
      </c>
      <c r="F285" s="15" t="s">
        <v>383</v>
      </c>
      <c r="G285" s="6">
        <v>73</v>
      </c>
      <c r="H285" s="6">
        <v>72</v>
      </c>
      <c r="I285" s="6">
        <v>83</v>
      </c>
      <c r="M285" s="6">
        <f t="shared" si="31"/>
        <v>228</v>
      </c>
      <c r="N285" s="15">
        <f t="shared" si="35"/>
        <v>228</v>
      </c>
    </row>
    <row r="286" spans="1:14">
      <c r="A286" s="15" t="s">
        <v>92</v>
      </c>
      <c r="B286" s="16" t="s">
        <v>14</v>
      </c>
      <c r="C286" s="15" t="s">
        <v>49</v>
      </c>
      <c r="D286" s="16" t="s">
        <v>8</v>
      </c>
      <c r="E286" s="15" t="s">
        <v>51</v>
      </c>
      <c r="F286" s="15" t="s">
        <v>383</v>
      </c>
      <c r="G286" s="6">
        <v>56</v>
      </c>
      <c r="H286" s="6">
        <v>53</v>
      </c>
      <c r="I286" s="6">
        <v>60</v>
      </c>
      <c r="M286" s="6">
        <f t="shared" si="31"/>
        <v>169</v>
      </c>
      <c r="N286" s="15"/>
    </row>
    <row r="287" spans="1:14">
      <c r="A287" s="15" t="s">
        <v>132</v>
      </c>
      <c r="B287" s="16" t="s">
        <v>14</v>
      </c>
      <c r="C287" s="15" t="s">
        <v>49</v>
      </c>
      <c r="D287" s="16" t="s">
        <v>8</v>
      </c>
      <c r="E287" s="15" t="s">
        <v>381</v>
      </c>
      <c r="F287" s="15" t="s">
        <v>383</v>
      </c>
      <c r="G287" s="6">
        <v>76</v>
      </c>
      <c r="H287" s="6">
        <v>81</v>
      </c>
      <c r="I287" s="6">
        <v>84</v>
      </c>
      <c r="M287" s="6">
        <f t="shared" si="31"/>
        <v>241</v>
      </c>
      <c r="N287" s="15">
        <f t="shared" ref="N287:N294" si="36">M287</f>
        <v>241</v>
      </c>
    </row>
    <row r="288" spans="1:14">
      <c r="A288" s="15" t="s">
        <v>214</v>
      </c>
      <c r="B288" s="16" t="s">
        <v>14</v>
      </c>
      <c r="C288" s="15" t="s">
        <v>382</v>
      </c>
      <c r="D288" s="16" t="s">
        <v>8</v>
      </c>
      <c r="E288" s="15" t="s">
        <v>381</v>
      </c>
      <c r="F288" s="15" t="s">
        <v>383</v>
      </c>
      <c r="G288" s="6">
        <v>69</v>
      </c>
      <c r="H288" s="6">
        <v>64</v>
      </c>
      <c r="I288" s="6">
        <v>68</v>
      </c>
      <c r="M288" s="6">
        <f t="shared" si="31"/>
        <v>201</v>
      </c>
      <c r="N288" s="15">
        <f t="shared" si="36"/>
        <v>201</v>
      </c>
    </row>
    <row r="289" spans="1:14">
      <c r="A289" s="15" t="s">
        <v>84</v>
      </c>
      <c r="B289" s="16" t="s">
        <v>14</v>
      </c>
      <c r="C289" s="15" t="s">
        <v>49</v>
      </c>
      <c r="D289" s="16" t="s">
        <v>8</v>
      </c>
      <c r="E289" s="15" t="s">
        <v>381</v>
      </c>
      <c r="F289" s="15" t="s">
        <v>383</v>
      </c>
      <c r="G289" s="6">
        <v>72</v>
      </c>
      <c r="H289" s="6">
        <v>72</v>
      </c>
      <c r="I289" s="6">
        <v>65</v>
      </c>
      <c r="M289" s="6">
        <f t="shared" si="31"/>
        <v>209</v>
      </c>
      <c r="N289" s="15">
        <f t="shared" si="36"/>
        <v>209</v>
      </c>
    </row>
    <row r="290" spans="1:14">
      <c r="A290" s="15" t="s">
        <v>106</v>
      </c>
      <c r="B290" s="16" t="s">
        <v>21</v>
      </c>
      <c r="C290" s="15" t="s">
        <v>49</v>
      </c>
      <c r="D290" s="16" t="s">
        <v>8</v>
      </c>
      <c r="E290" s="15" t="s">
        <v>381</v>
      </c>
      <c r="F290" s="15" t="s">
        <v>383</v>
      </c>
      <c r="G290" s="6">
        <v>81</v>
      </c>
      <c r="H290" s="6">
        <v>78</v>
      </c>
      <c r="I290" s="6">
        <v>83</v>
      </c>
      <c r="M290" s="6">
        <f t="shared" si="31"/>
        <v>242</v>
      </c>
      <c r="N290" s="15">
        <f t="shared" si="36"/>
        <v>242</v>
      </c>
    </row>
    <row r="291" spans="1:14">
      <c r="A291" s="15" t="s">
        <v>186</v>
      </c>
      <c r="B291" s="16" t="s">
        <v>21</v>
      </c>
      <c r="C291" s="15" t="s">
        <v>49</v>
      </c>
      <c r="D291" s="16" t="s">
        <v>8</v>
      </c>
      <c r="E291" s="15" t="s">
        <v>381</v>
      </c>
      <c r="F291" s="15" t="s">
        <v>383</v>
      </c>
      <c r="G291" s="6">
        <v>78</v>
      </c>
      <c r="H291" s="6">
        <v>68</v>
      </c>
      <c r="I291" s="6">
        <v>74</v>
      </c>
      <c r="M291" s="6">
        <f t="shared" si="31"/>
        <v>220</v>
      </c>
      <c r="N291" s="15">
        <f t="shared" si="36"/>
        <v>220</v>
      </c>
    </row>
    <row r="292" spans="1:14">
      <c r="A292" s="15" t="s">
        <v>76</v>
      </c>
      <c r="B292" s="16" t="s">
        <v>22</v>
      </c>
      <c r="C292" s="15" t="s">
        <v>49</v>
      </c>
      <c r="D292" s="16" t="s">
        <v>8</v>
      </c>
      <c r="E292" s="15" t="s">
        <v>381</v>
      </c>
      <c r="F292" s="15" t="s">
        <v>383</v>
      </c>
      <c r="G292" s="6">
        <v>74</v>
      </c>
      <c r="H292" s="6">
        <v>72</v>
      </c>
      <c r="I292" s="6">
        <v>71</v>
      </c>
      <c r="M292" s="6">
        <f t="shared" si="31"/>
        <v>217</v>
      </c>
      <c r="N292" s="15">
        <f t="shared" si="36"/>
        <v>217</v>
      </c>
    </row>
    <row r="293" spans="1:14">
      <c r="A293" s="15" t="s">
        <v>75</v>
      </c>
      <c r="B293" s="16" t="s">
        <v>22</v>
      </c>
      <c r="C293" s="15" t="s">
        <v>49</v>
      </c>
      <c r="D293" s="16" t="s">
        <v>8</v>
      </c>
      <c r="E293" s="15" t="s">
        <v>381</v>
      </c>
      <c r="F293" s="15" t="s">
        <v>383</v>
      </c>
      <c r="G293" s="6">
        <v>65</v>
      </c>
      <c r="H293" s="6">
        <v>68</v>
      </c>
      <c r="I293" s="6">
        <v>70</v>
      </c>
      <c r="M293" s="6">
        <f t="shared" si="31"/>
        <v>203</v>
      </c>
      <c r="N293" s="15">
        <f t="shared" si="36"/>
        <v>203</v>
      </c>
    </row>
    <row r="294" spans="1:14">
      <c r="A294" s="15" t="s">
        <v>256</v>
      </c>
      <c r="B294" s="16" t="s">
        <v>22</v>
      </c>
      <c r="C294" s="15" t="s">
        <v>382</v>
      </c>
      <c r="D294" s="16" t="s">
        <v>8</v>
      </c>
      <c r="E294" s="15" t="s">
        <v>381</v>
      </c>
      <c r="F294" s="15" t="s">
        <v>383</v>
      </c>
      <c r="G294" s="6">
        <v>14</v>
      </c>
      <c r="H294" s="6">
        <v>38</v>
      </c>
      <c r="I294" s="6">
        <v>19</v>
      </c>
      <c r="M294" s="6">
        <f t="shared" si="31"/>
        <v>71</v>
      </c>
      <c r="N294" s="15">
        <f t="shared" si="36"/>
        <v>71</v>
      </c>
    </row>
    <row r="295" spans="1:14">
      <c r="A295" s="15" t="s">
        <v>259</v>
      </c>
      <c r="B295" s="16" t="s">
        <v>22</v>
      </c>
      <c r="C295" s="15" t="s">
        <v>382</v>
      </c>
      <c r="D295" s="16" t="s">
        <v>8</v>
      </c>
      <c r="E295" s="15" t="s">
        <v>51</v>
      </c>
      <c r="F295" s="15" t="s">
        <v>383</v>
      </c>
      <c r="G295" s="6">
        <v>31</v>
      </c>
      <c r="H295" s="6">
        <v>47</v>
      </c>
      <c r="I295" s="6">
        <v>11</v>
      </c>
      <c r="M295" s="6">
        <f t="shared" si="31"/>
        <v>89</v>
      </c>
      <c r="N295" s="15"/>
    </row>
    <row r="296" spans="1:14">
      <c r="A296" s="15" t="s">
        <v>56</v>
      </c>
      <c r="B296" s="16" t="s">
        <v>13</v>
      </c>
      <c r="C296" s="15" t="s">
        <v>49</v>
      </c>
      <c r="D296" s="15" t="s">
        <v>8</v>
      </c>
      <c r="E296" s="15" t="s">
        <v>51</v>
      </c>
      <c r="F296" s="15" t="s">
        <v>52</v>
      </c>
      <c r="G296" s="6">
        <v>77</v>
      </c>
      <c r="H296" s="6">
        <v>75</v>
      </c>
      <c r="I296" s="6">
        <v>82</v>
      </c>
      <c r="M296" s="6">
        <f t="shared" si="31"/>
        <v>234</v>
      </c>
      <c r="N296" s="15"/>
    </row>
    <row r="297" spans="1:14">
      <c r="A297" s="15" t="s">
        <v>192</v>
      </c>
      <c r="B297" s="16" t="s">
        <v>15</v>
      </c>
      <c r="C297" s="15" t="s">
        <v>49</v>
      </c>
      <c r="D297" s="15" t="s">
        <v>8</v>
      </c>
      <c r="E297" s="15" t="s">
        <v>51</v>
      </c>
      <c r="F297" s="15" t="s">
        <v>52</v>
      </c>
      <c r="G297" s="6">
        <v>65</v>
      </c>
      <c r="H297" s="6">
        <v>62</v>
      </c>
      <c r="I297" s="6">
        <v>56</v>
      </c>
      <c r="M297" s="6">
        <f t="shared" si="31"/>
        <v>183</v>
      </c>
      <c r="N297" s="15"/>
    </row>
    <row r="298" spans="1:14">
      <c r="A298" s="15" t="s">
        <v>107</v>
      </c>
      <c r="B298" s="16" t="s">
        <v>15</v>
      </c>
      <c r="C298" s="15" t="s">
        <v>49</v>
      </c>
      <c r="D298" s="16" t="s">
        <v>8</v>
      </c>
      <c r="E298" s="15" t="s">
        <v>51</v>
      </c>
      <c r="F298" s="15" t="s">
        <v>52</v>
      </c>
      <c r="G298" s="6">
        <v>78</v>
      </c>
      <c r="H298" s="6">
        <v>74</v>
      </c>
      <c r="I298" s="6">
        <v>83</v>
      </c>
      <c r="M298" s="6">
        <f t="shared" si="31"/>
        <v>235</v>
      </c>
      <c r="N298" s="15"/>
    </row>
    <row r="299" spans="1:14">
      <c r="A299" s="15" t="s">
        <v>122</v>
      </c>
      <c r="B299" s="16" t="s">
        <v>23</v>
      </c>
      <c r="C299" s="15" t="s">
        <v>49</v>
      </c>
      <c r="D299" s="15" t="s">
        <v>8</v>
      </c>
      <c r="E299" s="15" t="s">
        <v>381</v>
      </c>
      <c r="F299" s="15" t="s">
        <v>383</v>
      </c>
      <c r="G299" s="6">
        <v>65</v>
      </c>
      <c r="H299" s="6">
        <v>61</v>
      </c>
      <c r="I299" s="6">
        <v>71</v>
      </c>
      <c r="M299" s="6">
        <f t="shared" si="31"/>
        <v>197</v>
      </c>
      <c r="N299" s="15">
        <f>M299</f>
        <v>197</v>
      </c>
    </row>
    <row r="300" spans="1:14">
      <c r="A300" s="15" t="s">
        <v>129</v>
      </c>
      <c r="B300" s="16" t="s">
        <v>24</v>
      </c>
      <c r="C300" s="15" t="s">
        <v>49</v>
      </c>
      <c r="D300" s="15" t="s">
        <v>8</v>
      </c>
      <c r="E300" s="15" t="s">
        <v>51</v>
      </c>
      <c r="F300" s="15" t="s">
        <v>383</v>
      </c>
      <c r="G300" s="6">
        <v>58</v>
      </c>
      <c r="H300" s="6">
        <v>46</v>
      </c>
      <c r="I300" s="6">
        <v>57</v>
      </c>
      <c r="M300" s="6">
        <f t="shared" si="31"/>
        <v>161</v>
      </c>
      <c r="N300" s="15"/>
    </row>
    <row r="301" spans="1:14">
      <c r="A301" s="15" t="s">
        <v>177</v>
      </c>
      <c r="B301" s="16" t="s">
        <v>20</v>
      </c>
      <c r="C301" s="15" t="s">
        <v>49</v>
      </c>
      <c r="D301" s="15" t="s">
        <v>8</v>
      </c>
      <c r="E301" s="15" t="s">
        <v>51</v>
      </c>
      <c r="F301" s="15" t="s">
        <v>383</v>
      </c>
      <c r="G301" s="6">
        <v>74</v>
      </c>
      <c r="H301" s="6">
        <v>83</v>
      </c>
      <c r="I301" s="6">
        <v>85</v>
      </c>
      <c r="M301" s="6">
        <f t="shared" si="31"/>
        <v>242</v>
      </c>
      <c r="N301" s="15"/>
    </row>
    <row r="302" spans="1:14">
      <c r="A302" s="15" t="s">
        <v>272</v>
      </c>
      <c r="B302" s="16" t="s">
        <v>15</v>
      </c>
      <c r="C302" s="15" t="s">
        <v>382</v>
      </c>
      <c r="D302" s="15" t="s">
        <v>8</v>
      </c>
      <c r="E302" s="15" t="s">
        <v>51</v>
      </c>
      <c r="F302" s="15" t="s">
        <v>383</v>
      </c>
      <c r="G302" s="6">
        <v>68</v>
      </c>
      <c r="H302" s="6">
        <v>70</v>
      </c>
      <c r="I302" s="6">
        <v>66</v>
      </c>
      <c r="M302" s="6">
        <f t="shared" si="31"/>
        <v>204</v>
      </c>
      <c r="N302" s="15"/>
    </row>
    <row r="303" spans="1:14">
      <c r="A303" s="15" t="s">
        <v>190</v>
      </c>
      <c r="B303" s="16" t="s">
        <v>15</v>
      </c>
      <c r="C303" s="15" t="s">
        <v>49</v>
      </c>
      <c r="D303" s="15" t="s">
        <v>8</v>
      </c>
      <c r="E303" s="15" t="s">
        <v>51</v>
      </c>
      <c r="F303" s="15" t="s">
        <v>383</v>
      </c>
      <c r="G303" s="6">
        <v>63</v>
      </c>
      <c r="H303" s="6">
        <v>72</v>
      </c>
      <c r="I303" s="6">
        <v>71</v>
      </c>
      <c r="M303" s="6">
        <f t="shared" si="31"/>
        <v>206</v>
      </c>
      <c r="N303" s="15"/>
    </row>
    <row r="304" spans="1:14">
      <c r="A304" s="15" t="s">
        <v>78</v>
      </c>
      <c r="B304" s="16" t="s">
        <v>15</v>
      </c>
      <c r="C304" s="15" t="s">
        <v>49</v>
      </c>
      <c r="D304" s="15" t="s">
        <v>8</v>
      </c>
      <c r="E304" s="15" t="s">
        <v>51</v>
      </c>
      <c r="F304" s="15" t="s">
        <v>52</v>
      </c>
      <c r="G304" s="6">
        <v>89</v>
      </c>
      <c r="H304" s="6">
        <v>74</v>
      </c>
      <c r="I304" s="6">
        <v>80</v>
      </c>
      <c r="M304" s="6">
        <f t="shared" si="31"/>
        <v>243</v>
      </c>
      <c r="N304" s="15"/>
    </row>
    <row r="305" spans="1:14">
      <c r="A305" s="15" t="s">
        <v>68</v>
      </c>
      <c r="B305" s="16" t="s">
        <v>13</v>
      </c>
      <c r="C305" s="15" t="s">
        <v>49</v>
      </c>
      <c r="D305" s="16" t="s">
        <v>9</v>
      </c>
      <c r="E305" s="15" t="s">
        <v>381</v>
      </c>
      <c r="F305" s="15" t="s">
        <v>52</v>
      </c>
      <c r="G305" s="6">
        <v>87</v>
      </c>
      <c r="H305" s="6">
        <v>81</v>
      </c>
      <c r="I305" s="6">
        <v>82</v>
      </c>
      <c r="M305" s="6">
        <f t="shared" si="31"/>
        <v>250</v>
      </c>
      <c r="N305" s="15">
        <f t="shared" ref="N305:N314" si="37">M305</f>
        <v>250</v>
      </c>
    </row>
    <row r="306" spans="1:14">
      <c r="A306" s="15" t="s">
        <v>160</v>
      </c>
      <c r="B306" s="16" t="s">
        <v>16</v>
      </c>
      <c r="C306" s="15" t="s">
        <v>49</v>
      </c>
      <c r="D306" s="16" t="s">
        <v>9</v>
      </c>
      <c r="E306" s="15" t="s">
        <v>381</v>
      </c>
      <c r="F306" s="15" t="s">
        <v>52</v>
      </c>
      <c r="G306" s="6">
        <v>90</v>
      </c>
      <c r="H306" s="6">
        <v>85</v>
      </c>
      <c r="I306" s="6">
        <v>92</v>
      </c>
      <c r="M306" s="6">
        <f t="shared" si="31"/>
        <v>267</v>
      </c>
      <c r="N306" s="15">
        <f t="shared" si="37"/>
        <v>267</v>
      </c>
    </row>
    <row r="307" spans="1:14">
      <c r="A307" s="15" t="s">
        <v>80</v>
      </c>
      <c r="B307" s="16" t="s">
        <v>25</v>
      </c>
      <c r="C307" s="15" t="s">
        <v>49</v>
      </c>
      <c r="D307" s="16" t="s">
        <v>9</v>
      </c>
      <c r="E307" s="15" t="s">
        <v>381</v>
      </c>
      <c r="F307" s="15" t="s">
        <v>52</v>
      </c>
      <c r="G307" s="6">
        <v>98</v>
      </c>
      <c r="H307" s="6">
        <v>96</v>
      </c>
      <c r="I307" s="6">
        <v>94</v>
      </c>
      <c r="M307" s="6">
        <f t="shared" si="31"/>
        <v>288</v>
      </c>
      <c r="N307" s="15">
        <f t="shared" si="37"/>
        <v>288</v>
      </c>
    </row>
    <row r="308" spans="1:14">
      <c r="A308" s="15" t="s">
        <v>101</v>
      </c>
      <c r="B308" s="16" t="s">
        <v>27</v>
      </c>
      <c r="C308" s="15" t="s">
        <v>49</v>
      </c>
      <c r="D308" s="16" t="s">
        <v>9</v>
      </c>
      <c r="E308" s="15" t="s">
        <v>381</v>
      </c>
      <c r="F308" s="15" t="s">
        <v>52</v>
      </c>
      <c r="G308" s="6">
        <v>83</v>
      </c>
      <c r="H308" s="6">
        <v>90</v>
      </c>
      <c r="I308" s="6">
        <v>94</v>
      </c>
      <c r="M308" s="6">
        <f t="shared" si="31"/>
        <v>267</v>
      </c>
      <c r="N308" s="15">
        <f t="shared" si="37"/>
        <v>267</v>
      </c>
    </row>
    <row r="309" spans="1:14">
      <c r="A309" s="15" t="s">
        <v>89</v>
      </c>
      <c r="B309" s="16" t="s">
        <v>17</v>
      </c>
      <c r="C309" s="15" t="s">
        <v>49</v>
      </c>
      <c r="D309" s="16" t="s">
        <v>9</v>
      </c>
      <c r="E309" s="15" t="s">
        <v>381</v>
      </c>
      <c r="F309" s="15" t="s">
        <v>52</v>
      </c>
      <c r="G309" s="6">
        <v>98</v>
      </c>
      <c r="H309" s="6">
        <v>99</v>
      </c>
      <c r="I309" s="6">
        <v>100</v>
      </c>
      <c r="M309" s="6">
        <f t="shared" si="31"/>
        <v>297</v>
      </c>
      <c r="N309" s="15">
        <f t="shared" si="37"/>
        <v>297</v>
      </c>
    </row>
    <row r="310" spans="1:14">
      <c r="A310" s="15" t="s">
        <v>108</v>
      </c>
      <c r="B310" s="16" t="s">
        <v>26</v>
      </c>
      <c r="C310" s="15" t="s">
        <v>49</v>
      </c>
      <c r="D310" s="16" t="s">
        <v>9</v>
      </c>
      <c r="E310" s="15" t="s">
        <v>381</v>
      </c>
      <c r="F310" s="15" t="s">
        <v>52</v>
      </c>
      <c r="G310" s="6">
        <v>80</v>
      </c>
      <c r="H310" s="6">
        <v>86</v>
      </c>
      <c r="I310" s="6">
        <v>82</v>
      </c>
      <c r="M310" s="6">
        <f t="shared" si="31"/>
        <v>248</v>
      </c>
      <c r="N310" s="15">
        <f t="shared" si="37"/>
        <v>248</v>
      </c>
    </row>
    <row r="311" spans="1:14">
      <c r="A311" s="15" t="s">
        <v>110</v>
      </c>
      <c r="B311" s="16" t="s">
        <v>24</v>
      </c>
      <c r="C311" s="15" t="s">
        <v>49</v>
      </c>
      <c r="D311" s="16" t="s">
        <v>9</v>
      </c>
      <c r="E311" s="15" t="s">
        <v>381</v>
      </c>
      <c r="F311" s="15" t="s">
        <v>383</v>
      </c>
      <c r="G311" s="6">
        <v>97</v>
      </c>
      <c r="H311" s="6">
        <v>97</v>
      </c>
      <c r="I311" s="6">
        <v>96</v>
      </c>
      <c r="M311" s="6">
        <f t="shared" si="31"/>
        <v>290</v>
      </c>
      <c r="N311" s="15">
        <f t="shared" si="37"/>
        <v>290</v>
      </c>
    </row>
    <row r="312" spans="1:14">
      <c r="A312" s="15" t="s">
        <v>172</v>
      </c>
      <c r="B312" s="16" t="s">
        <v>23</v>
      </c>
      <c r="C312" s="15" t="s">
        <v>49</v>
      </c>
      <c r="D312" s="16" t="s">
        <v>9</v>
      </c>
      <c r="E312" s="15" t="s">
        <v>381</v>
      </c>
      <c r="F312" s="15" t="s">
        <v>383</v>
      </c>
      <c r="G312" s="6">
        <v>91</v>
      </c>
      <c r="H312" s="6">
        <v>81</v>
      </c>
      <c r="I312" s="6">
        <v>78</v>
      </c>
      <c r="M312" s="6">
        <f t="shared" si="31"/>
        <v>250</v>
      </c>
      <c r="N312" s="15">
        <f t="shared" si="37"/>
        <v>250</v>
      </c>
    </row>
    <row r="313" spans="1:14">
      <c r="A313" s="15" t="s">
        <v>111</v>
      </c>
      <c r="B313" s="16" t="s">
        <v>19</v>
      </c>
      <c r="C313" s="15" t="s">
        <v>49</v>
      </c>
      <c r="D313" s="16" t="s">
        <v>9</v>
      </c>
      <c r="E313" s="15" t="s">
        <v>381</v>
      </c>
      <c r="F313" s="15" t="s">
        <v>383</v>
      </c>
      <c r="G313" s="6">
        <v>79</v>
      </c>
      <c r="H313" s="6">
        <v>80</v>
      </c>
      <c r="I313" s="6">
        <v>82</v>
      </c>
      <c r="M313" s="6">
        <f t="shared" si="31"/>
        <v>241</v>
      </c>
      <c r="N313" s="15">
        <f t="shared" si="37"/>
        <v>241</v>
      </c>
    </row>
    <row r="314" spans="1:14">
      <c r="A314" s="15" t="s">
        <v>147</v>
      </c>
      <c r="B314" s="16" t="s">
        <v>14</v>
      </c>
      <c r="C314" s="15" t="s">
        <v>49</v>
      </c>
      <c r="D314" s="16" t="s">
        <v>9</v>
      </c>
      <c r="E314" s="15" t="s">
        <v>381</v>
      </c>
      <c r="F314" s="15" t="s">
        <v>383</v>
      </c>
      <c r="G314" s="6">
        <v>99</v>
      </c>
      <c r="H314" s="6">
        <v>98</v>
      </c>
      <c r="I314" s="6">
        <v>100</v>
      </c>
      <c r="M314" s="6">
        <f t="shared" si="31"/>
        <v>297</v>
      </c>
      <c r="N314" s="15">
        <f t="shared" si="37"/>
        <v>297</v>
      </c>
    </row>
    <row r="315" spans="1:14">
      <c r="A315" s="15" t="s">
        <v>150</v>
      </c>
      <c r="B315" s="16" t="s">
        <v>14</v>
      </c>
      <c r="C315" s="15" t="s">
        <v>49</v>
      </c>
      <c r="D315" s="16" t="s">
        <v>9</v>
      </c>
      <c r="E315" s="15" t="s">
        <v>51</v>
      </c>
      <c r="F315" s="15" t="s">
        <v>383</v>
      </c>
      <c r="G315" s="6">
        <v>98</v>
      </c>
      <c r="H315" s="6">
        <v>99</v>
      </c>
      <c r="I315" s="6">
        <v>96</v>
      </c>
      <c r="M315" s="6">
        <f t="shared" si="31"/>
        <v>293</v>
      </c>
      <c r="N315" s="15"/>
    </row>
    <row r="316" spans="1:14">
      <c r="A316" s="15" t="s">
        <v>57</v>
      </c>
      <c r="B316" s="16" t="s">
        <v>14</v>
      </c>
      <c r="C316" s="15" t="s">
        <v>49</v>
      </c>
      <c r="D316" s="16" t="s">
        <v>9</v>
      </c>
      <c r="E316" s="15" t="s">
        <v>51</v>
      </c>
      <c r="F316" s="15" t="s">
        <v>383</v>
      </c>
      <c r="G316" s="6">
        <v>84</v>
      </c>
      <c r="H316" s="6">
        <v>88</v>
      </c>
      <c r="I316" s="6">
        <v>88</v>
      </c>
      <c r="M316" s="6">
        <f t="shared" si="31"/>
        <v>260</v>
      </c>
      <c r="N316" s="15"/>
    </row>
    <row r="317" spans="1:14">
      <c r="A317" s="15" t="s">
        <v>149</v>
      </c>
      <c r="B317" s="16" t="s">
        <v>21</v>
      </c>
      <c r="C317" s="15" t="s">
        <v>49</v>
      </c>
      <c r="D317" s="16" t="s">
        <v>9</v>
      </c>
      <c r="E317" s="15" t="s">
        <v>51</v>
      </c>
      <c r="F317" s="15" t="s">
        <v>383</v>
      </c>
      <c r="G317" s="6">
        <v>98</v>
      </c>
      <c r="H317" s="6">
        <v>96</v>
      </c>
      <c r="I317" s="6">
        <v>99</v>
      </c>
      <c r="M317" s="6">
        <f t="shared" si="31"/>
        <v>293</v>
      </c>
      <c r="N317" s="15"/>
    </row>
    <row r="318" spans="1:14">
      <c r="A318" s="15" t="s">
        <v>127</v>
      </c>
      <c r="B318" s="16" t="s">
        <v>21</v>
      </c>
      <c r="C318" s="15" t="s">
        <v>49</v>
      </c>
      <c r="D318" s="16" t="s">
        <v>9</v>
      </c>
      <c r="E318" s="15" t="s">
        <v>381</v>
      </c>
      <c r="F318" s="15" t="s">
        <v>383</v>
      </c>
      <c r="G318" s="6">
        <v>98</v>
      </c>
      <c r="H318" s="6">
        <v>100</v>
      </c>
      <c r="I318" s="6">
        <v>97</v>
      </c>
      <c r="M318" s="6">
        <f t="shared" si="31"/>
        <v>295</v>
      </c>
      <c r="N318" s="15">
        <f t="shared" ref="N318:N319" si="38">M318</f>
        <v>295</v>
      </c>
    </row>
    <row r="319" spans="1:14">
      <c r="A319" s="15" t="s">
        <v>189</v>
      </c>
      <c r="B319" s="16" t="s">
        <v>22</v>
      </c>
      <c r="C319" s="15" t="s">
        <v>49</v>
      </c>
      <c r="D319" s="16" t="s">
        <v>9</v>
      </c>
      <c r="E319" s="15" t="s">
        <v>381</v>
      </c>
      <c r="F319" s="15" t="s">
        <v>383</v>
      </c>
      <c r="G319" s="6">
        <v>60</v>
      </c>
      <c r="H319" s="6">
        <v>79</v>
      </c>
      <c r="I319" s="6">
        <v>69</v>
      </c>
      <c r="M319" s="6">
        <f t="shared" si="31"/>
        <v>208</v>
      </c>
      <c r="N319" s="15">
        <f t="shared" si="38"/>
        <v>208</v>
      </c>
    </row>
    <row r="320" spans="1:14">
      <c r="A320" s="15" t="s">
        <v>82</v>
      </c>
      <c r="B320" s="16" t="s">
        <v>17</v>
      </c>
      <c r="C320" s="15" t="s">
        <v>49</v>
      </c>
      <c r="D320" s="15" t="s">
        <v>9</v>
      </c>
      <c r="E320" s="15" t="s">
        <v>51</v>
      </c>
      <c r="F320" s="15" t="s">
        <v>52</v>
      </c>
      <c r="G320" s="6">
        <v>78</v>
      </c>
      <c r="H320" s="6">
        <v>80</v>
      </c>
      <c r="I320" s="6">
        <v>82</v>
      </c>
      <c r="M320" s="6">
        <f t="shared" si="31"/>
        <v>240</v>
      </c>
      <c r="N320" s="15"/>
    </row>
    <row r="321" spans="1:14">
      <c r="A321" s="15" t="s">
        <v>120</v>
      </c>
      <c r="B321" s="15" t="s">
        <v>15</v>
      </c>
      <c r="C321" s="15" t="s">
        <v>49</v>
      </c>
      <c r="D321" s="16" t="s">
        <v>9</v>
      </c>
      <c r="E321" s="15" t="s">
        <v>381</v>
      </c>
      <c r="F321" s="15" t="s">
        <v>52</v>
      </c>
      <c r="G321" s="6">
        <v>73</v>
      </c>
      <c r="H321" s="6">
        <v>75</v>
      </c>
      <c r="I321" s="6">
        <v>73</v>
      </c>
      <c r="M321" s="6">
        <f t="shared" si="31"/>
        <v>221</v>
      </c>
      <c r="N321" s="15">
        <f t="shared" ref="N321:N323" si="39">M321</f>
        <v>221</v>
      </c>
    </row>
    <row r="322" spans="1:14">
      <c r="A322" s="15" t="s">
        <v>86</v>
      </c>
      <c r="B322" s="16" t="s">
        <v>18</v>
      </c>
      <c r="C322" s="15" t="s">
        <v>49</v>
      </c>
      <c r="D322" s="15" t="s">
        <v>9</v>
      </c>
      <c r="E322" s="15" t="s">
        <v>381</v>
      </c>
      <c r="F322" s="15" t="s">
        <v>383</v>
      </c>
      <c r="G322" s="6">
        <v>87</v>
      </c>
      <c r="H322" s="6">
        <v>93</v>
      </c>
      <c r="I322" s="6">
        <v>86</v>
      </c>
      <c r="M322" s="6">
        <f t="shared" si="31"/>
        <v>266</v>
      </c>
      <c r="N322" s="15">
        <f t="shared" si="39"/>
        <v>266</v>
      </c>
    </row>
    <row r="323" spans="1:14">
      <c r="A323" s="15" t="s">
        <v>179</v>
      </c>
      <c r="B323" s="16" t="s">
        <v>20</v>
      </c>
      <c r="C323" s="15" t="s">
        <v>49</v>
      </c>
      <c r="D323" s="15" t="s">
        <v>9</v>
      </c>
      <c r="E323" s="15" t="s">
        <v>381</v>
      </c>
      <c r="F323" s="15" t="s">
        <v>383</v>
      </c>
      <c r="G323" s="6">
        <v>67</v>
      </c>
      <c r="H323" s="6">
        <v>81</v>
      </c>
      <c r="I323" s="6">
        <v>90</v>
      </c>
      <c r="M323" s="6">
        <f t="shared" si="31"/>
        <v>238</v>
      </c>
      <c r="N323" s="15">
        <f t="shared" si="39"/>
        <v>238</v>
      </c>
    </row>
    <row r="324" spans="1:14">
      <c r="A324" s="15" t="s">
        <v>91</v>
      </c>
      <c r="B324" s="16" t="s">
        <v>13</v>
      </c>
      <c r="C324" s="15" t="s">
        <v>49</v>
      </c>
      <c r="D324" s="16" t="s">
        <v>10</v>
      </c>
      <c r="E324" s="15" t="s">
        <v>381</v>
      </c>
      <c r="F324" s="15" t="s">
        <v>52</v>
      </c>
      <c r="G324" s="6">
        <v>96</v>
      </c>
      <c r="H324" s="6">
        <v>95</v>
      </c>
      <c r="I324" s="6">
        <v>97</v>
      </c>
      <c r="J324" s="6">
        <v>95</v>
      </c>
      <c r="K324" s="6">
        <v>91</v>
      </c>
      <c r="L324" s="6">
        <v>88</v>
      </c>
      <c r="M324" s="6">
        <f t="shared" si="31"/>
        <v>562</v>
      </c>
      <c r="N324" s="15">
        <f t="shared" ref="N324:N339" si="40">M324/6*3</f>
        <v>281</v>
      </c>
    </row>
    <row r="325" spans="1:14">
      <c r="A325" s="15" t="s">
        <v>216</v>
      </c>
      <c r="B325" s="16" t="s">
        <v>13</v>
      </c>
      <c r="C325" s="15" t="s">
        <v>382</v>
      </c>
      <c r="D325" s="16" t="s">
        <v>10</v>
      </c>
      <c r="E325" s="15" t="s">
        <v>381</v>
      </c>
      <c r="F325" s="15" t="s">
        <v>52</v>
      </c>
      <c r="G325" s="6">
        <v>97</v>
      </c>
      <c r="H325" s="6">
        <v>99</v>
      </c>
      <c r="I325" s="6">
        <v>100</v>
      </c>
      <c r="J325" s="6">
        <v>98</v>
      </c>
      <c r="K325" s="6">
        <v>95</v>
      </c>
      <c r="L325" s="6">
        <v>97</v>
      </c>
      <c r="M325" s="6">
        <f t="shared" si="31"/>
        <v>586</v>
      </c>
      <c r="N325" s="15">
        <f t="shared" si="40"/>
        <v>293</v>
      </c>
    </row>
    <row r="326" spans="1:14">
      <c r="A326" s="15" t="s">
        <v>288</v>
      </c>
      <c r="B326" s="16" t="s">
        <v>13</v>
      </c>
      <c r="C326" s="15" t="s">
        <v>384</v>
      </c>
      <c r="D326" s="16" t="s">
        <v>10</v>
      </c>
      <c r="E326" s="15" t="s">
        <v>381</v>
      </c>
      <c r="F326" s="15" t="s">
        <v>52</v>
      </c>
      <c r="G326" s="6">
        <v>85</v>
      </c>
      <c r="H326" s="6">
        <v>93</v>
      </c>
      <c r="I326" s="6">
        <v>98</v>
      </c>
      <c r="J326" s="6">
        <v>96</v>
      </c>
      <c r="K326" s="6">
        <v>86</v>
      </c>
      <c r="L326" s="6">
        <v>82</v>
      </c>
      <c r="M326" s="6">
        <f t="shared" si="31"/>
        <v>540</v>
      </c>
      <c r="N326" s="15">
        <f t="shared" si="40"/>
        <v>270</v>
      </c>
    </row>
    <row r="327" spans="1:14">
      <c r="A327" s="15" t="s">
        <v>316</v>
      </c>
      <c r="B327" s="16" t="s">
        <v>13</v>
      </c>
      <c r="C327" s="15" t="s">
        <v>385</v>
      </c>
      <c r="D327" s="16" t="s">
        <v>10</v>
      </c>
      <c r="E327" s="15" t="s">
        <v>381</v>
      </c>
      <c r="F327" s="15" t="s">
        <v>52</v>
      </c>
      <c r="G327" s="6">
        <v>93</v>
      </c>
      <c r="H327" s="6">
        <v>96</v>
      </c>
      <c r="I327" s="6">
        <v>96</v>
      </c>
      <c r="J327" s="6">
        <v>93</v>
      </c>
      <c r="K327" s="6">
        <v>91</v>
      </c>
      <c r="L327" s="6">
        <v>94</v>
      </c>
      <c r="M327" s="6">
        <f t="shared" si="31"/>
        <v>563</v>
      </c>
      <c r="N327" s="15">
        <f t="shared" si="40"/>
        <v>281.5</v>
      </c>
    </row>
    <row r="328" spans="1:14">
      <c r="A328" s="15" t="s">
        <v>62</v>
      </c>
      <c r="B328" s="16" t="s">
        <v>16</v>
      </c>
      <c r="C328" s="15" t="s">
        <v>49</v>
      </c>
      <c r="D328" s="16" t="s">
        <v>10</v>
      </c>
      <c r="E328" s="15" t="s">
        <v>381</v>
      </c>
      <c r="F328" s="15" t="s">
        <v>52</v>
      </c>
      <c r="G328" s="6">
        <v>96</v>
      </c>
      <c r="H328" s="6">
        <v>96</v>
      </c>
      <c r="I328" s="6">
        <v>97</v>
      </c>
      <c r="J328" s="6">
        <v>99</v>
      </c>
      <c r="K328" s="6">
        <v>97</v>
      </c>
      <c r="L328" s="6">
        <v>98</v>
      </c>
      <c r="M328" s="6">
        <f t="shared" si="31"/>
        <v>583</v>
      </c>
      <c r="N328" s="15">
        <f t="shared" si="40"/>
        <v>291.5</v>
      </c>
    </row>
    <row r="329" spans="1:14">
      <c r="A329" s="15" t="s">
        <v>231</v>
      </c>
      <c r="B329" s="16" t="s">
        <v>16</v>
      </c>
      <c r="C329" s="15" t="s">
        <v>382</v>
      </c>
      <c r="D329" s="16" t="s">
        <v>10</v>
      </c>
      <c r="E329" s="15" t="s">
        <v>381</v>
      </c>
      <c r="F329" s="15" t="s">
        <v>52</v>
      </c>
      <c r="G329" s="6">
        <v>76</v>
      </c>
      <c r="H329" s="6">
        <v>80</v>
      </c>
      <c r="I329" s="6">
        <v>97</v>
      </c>
      <c r="J329" s="6">
        <v>86</v>
      </c>
      <c r="K329" s="6">
        <v>78</v>
      </c>
      <c r="L329" s="6">
        <v>76</v>
      </c>
      <c r="M329" s="6">
        <f t="shared" si="31"/>
        <v>493</v>
      </c>
      <c r="N329" s="15">
        <f t="shared" si="40"/>
        <v>246.5</v>
      </c>
    </row>
    <row r="330" spans="1:14">
      <c r="A330" s="15" t="s">
        <v>281</v>
      </c>
      <c r="B330" s="16" t="s">
        <v>16</v>
      </c>
      <c r="C330" s="15" t="s">
        <v>384</v>
      </c>
      <c r="D330" s="16" t="s">
        <v>10</v>
      </c>
      <c r="E330" s="15" t="s">
        <v>381</v>
      </c>
      <c r="F330" s="15" t="s">
        <v>52</v>
      </c>
      <c r="G330" s="6">
        <v>75</v>
      </c>
      <c r="H330" s="6">
        <v>76</v>
      </c>
      <c r="I330" s="6">
        <v>94</v>
      </c>
      <c r="J330" s="6">
        <v>92</v>
      </c>
      <c r="K330" s="6">
        <v>76</v>
      </c>
      <c r="L330" s="6">
        <v>74</v>
      </c>
      <c r="M330" s="6">
        <f t="shared" si="31"/>
        <v>487</v>
      </c>
      <c r="N330" s="15">
        <f t="shared" si="40"/>
        <v>243.5</v>
      </c>
    </row>
    <row r="331" spans="1:14">
      <c r="A331" s="15" t="s">
        <v>322</v>
      </c>
      <c r="B331" s="16" t="s">
        <v>16</v>
      </c>
      <c r="C331" s="15" t="s">
        <v>385</v>
      </c>
      <c r="D331" s="16" t="s">
        <v>10</v>
      </c>
      <c r="E331" s="15" t="s">
        <v>381</v>
      </c>
      <c r="F331" s="15" t="s">
        <v>52</v>
      </c>
      <c r="G331" s="6">
        <v>72</v>
      </c>
      <c r="H331" s="6">
        <v>76</v>
      </c>
      <c r="I331" s="6">
        <v>86</v>
      </c>
      <c r="J331" s="6">
        <v>95</v>
      </c>
      <c r="K331" s="6">
        <v>61</v>
      </c>
      <c r="L331" s="6">
        <v>50</v>
      </c>
      <c r="M331" s="6">
        <f t="shared" si="31"/>
        <v>440</v>
      </c>
      <c r="N331" s="15">
        <f t="shared" si="40"/>
        <v>220</v>
      </c>
    </row>
    <row r="332" spans="1:14">
      <c r="A332" s="15" t="s">
        <v>66</v>
      </c>
      <c r="B332" s="16" t="s">
        <v>25</v>
      </c>
      <c r="C332" s="15" t="s">
        <v>49</v>
      </c>
      <c r="D332" s="16" t="s">
        <v>10</v>
      </c>
      <c r="E332" s="15" t="s">
        <v>381</v>
      </c>
      <c r="F332" s="15" t="s">
        <v>52</v>
      </c>
      <c r="G332" s="6">
        <v>94</v>
      </c>
      <c r="H332" s="6">
        <v>97</v>
      </c>
      <c r="I332" s="6">
        <v>96</v>
      </c>
      <c r="J332" s="6">
        <v>100</v>
      </c>
      <c r="K332" s="6">
        <v>90</v>
      </c>
      <c r="L332" s="6">
        <v>94</v>
      </c>
      <c r="M332" s="6">
        <f t="shared" si="31"/>
        <v>571</v>
      </c>
      <c r="N332" s="15">
        <f t="shared" si="40"/>
        <v>285.5</v>
      </c>
    </row>
    <row r="333" spans="1:14">
      <c r="A333" s="15" t="s">
        <v>285</v>
      </c>
      <c r="B333" s="16" t="s">
        <v>17</v>
      </c>
      <c r="C333" s="15" t="s">
        <v>384</v>
      </c>
      <c r="D333" s="16" t="s">
        <v>10</v>
      </c>
      <c r="E333" s="15" t="s">
        <v>381</v>
      </c>
      <c r="F333" s="15" t="s">
        <v>52</v>
      </c>
      <c r="G333" s="6">
        <v>86</v>
      </c>
      <c r="H333" s="6">
        <v>87</v>
      </c>
      <c r="I333" s="6">
        <v>85</v>
      </c>
      <c r="J333" s="6">
        <v>90</v>
      </c>
      <c r="K333" s="6">
        <v>85</v>
      </c>
      <c r="L333" s="6">
        <v>87</v>
      </c>
      <c r="M333" s="6">
        <f t="shared" si="31"/>
        <v>520</v>
      </c>
      <c r="N333" s="15">
        <f t="shared" si="40"/>
        <v>260</v>
      </c>
    </row>
    <row r="334" spans="1:14">
      <c r="A334" s="15" t="s">
        <v>207</v>
      </c>
      <c r="B334" s="16" t="s">
        <v>17</v>
      </c>
      <c r="C334" s="15" t="s">
        <v>382</v>
      </c>
      <c r="D334" s="16" t="s">
        <v>10</v>
      </c>
      <c r="E334" s="15" t="s">
        <v>381</v>
      </c>
      <c r="F334" s="15" t="s">
        <v>52</v>
      </c>
      <c r="G334" s="6">
        <v>93</v>
      </c>
      <c r="H334" s="6">
        <v>90</v>
      </c>
      <c r="I334" s="6">
        <v>98</v>
      </c>
      <c r="J334" s="6">
        <v>95</v>
      </c>
      <c r="K334" s="6">
        <v>89</v>
      </c>
      <c r="L334" s="6">
        <v>92</v>
      </c>
      <c r="M334" s="6">
        <f t="shared" si="31"/>
        <v>557</v>
      </c>
      <c r="N334" s="15">
        <f t="shared" si="40"/>
        <v>278.5</v>
      </c>
    </row>
    <row r="335" spans="1:14">
      <c r="A335" s="15" t="s">
        <v>72</v>
      </c>
      <c r="B335" s="16" t="s">
        <v>17</v>
      </c>
      <c r="C335" s="15" t="s">
        <v>49</v>
      </c>
      <c r="D335" s="16" t="s">
        <v>10</v>
      </c>
      <c r="E335" s="15" t="s">
        <v>381</v>
      </c>
      <c r="F335" s="15" t="s">
        <v>52</v>
      </c>
      <c r="G335" s="6">
        <v>91</v>
      </c>
      <c r="H335" s="6">
        <v>92</v>
      </c>
      <c r="I335" s="6">
        <v>95</v>
      </c>
      <c r="J335" s="6">
        <v>94</v>
      </c>
      <c r="K335" s="6">
        <v>88</v>
      </c>
      <c r="L335" s="6">
        <v>86</v>
      </c>
      <c r="M335" s="6">
        <f t="shared" si="31"/>
        <v>546</v>
      </c>
      <c r="N335" s="15">
        <f t="shared" si="40"/>
        <v>273</v>
      </c>
    </row>
    <row r="336" spans="1:14">
      <c r="A336" s="15" t="s">
        <v>311</v>
      </c>
      <c r="B336" s="16" t="s">
        <v>17</v>
      </c>
      <c r="C336" s="15" t="s">
        <v>385</v>
      </c>
      <c r="D336" s="16" t="s">
        <v>10</v>
      </c>
      <c r="E336" s="15" t="s">
        <v>381</v>
      </c>
      <c r="F336" s="15" t="s">
        <v>52</v>
      </c>
      <c r="G336" s="6">
        <v>90</v>
      </c>
      <c r="H336" s="6">
        <v>95</v>
      </c>
      <c r="I336" s="6">
        <v>94</v>
      </c>
      <c r="J336" s="6">
        <v>93</v>
      </c>
      <c r="K336" s="6">
        <v>92</v>
      </c>
      <c r="L336" s="6">
        <v>91</v>
      </c>
      <c r="M336" s="6">
        <f t="shared" si="31"/>
        <v>555</v>
      </c>
      <c r="N336" s="15">
        <f t="shared" si="40"/>
        <v>277.5</v>
      </c>
    </row>
    <row r="337" spans="1:14">
      <c r="A337" s="15" t="s">
        <v>93</v>
      </c>
      <c r="B337" s="16" t="s">
        <v>15</v>
      </c>
      <c r="C337" s="15" t="s">
        <v>49</v>
      </c>
      <c r="D337" s="16" t="s">
        <v>10</v>
      </c>
      <c r="E337" s="15" t="s">
        <v>381</v>
      </c>
      <c r="F337" s="15" t="s">
        <v>52</v>
      </c>
      <c r="G337" s="24">
        <v>90</v>
      </c>
      <c r="H337" s="6">
        <v>91</v>
      </c>
      <c r="I337" s="6">
        <v>94</v>
      </c>
      <c r="J337" s="6">
        <v>94</v>
      </c>
      <c r="K337" s="6">
        <v>89</v>
      </c>
      <c r="L337" s="6">
        <v>91</v>
      </c>
      <c r="M337" s="6">
        <f t="shared" si="31"/>
        <v>549</v>
      </c>
      <c r="N337" s="15">
        <f t="shared" si="40"/>
        <v>274.5</v>
      </c>
    </row>
    <row r="338" spans="1:14">
      <c r="A338" s="15" t="s">
        <v>320</v>
      </c>
      <c r="B338" s="16" t="s">
        <v>15</v>
      </c>
      <c r="C338" s="15" t="s">
        <v>385</v>
      </c>
      <c r="D338" s="16" t="s">
        <v>10</v>
      </c>
      <c r="E338" s="15" t="s">
        <v>381</v>
      </c>
      <c r="F338" s="15" t="s">
        <v>52</v>
      </c>
      <c r="G338" s="6">
        <v>86</v>
      </c>
      <c r="H338" s="6">
        <v>86</v>
      </c>
      <c r="I338" s="6">
        <v>91</v>
      </c>
      <c r="J338" s="6">
        <v>90</v>
      </c>
      <c r="K338" s="6">
        <v>63</v>
      </c>
      <c r="L338" s="6">
        <v>74</v>
      </c>
      <c r="M338" s="6">
        <f t="shared" si="31"/>
        <v>490</v>
      </c>
      <c r="N338" s="15">
        <f t="shared" si="40"/>
        <v>245</v>
      </c>
    </row>
    <row r="339" spans="1:14">
      <c r="A339" s="15" t="s">
        <v>205</v>
      </c>
      <c r="B339" s="16" t="s">
        <v>15</v>
      </c>
      <c r="C339" s="15" t="s">
        <v>382</v>
      </c>
      <c r="D339" s="16" t="s">
        <v>10</v>
      </c>
      <c r="E339" s="15" t="s">
        <v>381</v>
      </c>
      <c r="F339" s="15" t="s">
        <v>52</v>
      </c>
      <c r="G339" s="6">
        <v>97</v>
      </c>
      <c r="H339" s="6">
        <v>96</v>
      </c>
      <c r="I339" s="6">
        <v>98</v>
      </c>
      <c r="J339" s="6">
        <v>100</v>
      </c>
      <c r="K339" s="6">
        <v>94</v>
      </c>
      <c r="L339" s="6">
        <v>90</v>
      </c>
      <c r="M339" s="6">
        <f t="shared" si="31"/>
        <v>575</v>
      </c>
      <c r="N339" s="15">
        <f t="shared" si="40"/>
        <v>287.5</v>
      </c>
    </row>
    <row r="340" spans="1:14">
      <c r="A340" s="15" t="s">
        <v>209</v>
      </c>
      <c r="B340" s="16" t="s">
        <v>15</v>
      </c>
      <c r="C340" s="15" t="s">
        <v>382</v>
      </c>
      <c r="D340" s="16" t="s">
        <v>10</v>
      </c>
      <c r="E340" s="15" t="s">
        <v>51</v>
      </c>
      <c r="F340" s="15" t="s">
        <v>52</v>
      </c>
      <c r="G340" s="6">
        <v>94</v>
      </c>
      <c r="H340" s="6">
        <v>98</v>
      </c>
      <c r="I340" s="6">
        <v>96</v>
      </c>
      <c r="J340" s="6">
        <v>98</v>
      </c>
      <c r="K340" s="6">
        <v>89</v>
      </c>
      <c r="L340" s="6">
        <v>85</v>
      </c>
      <c r="M340" s="6">
        <f t="shared" si="31"/>
        <v>560</v>
      </c>
      <c r="N340" s="15"/>
    </row>
    <row r="341" spans="1:14">
      <c r="A341" s="15" t="s">
        <v>317</v>
      </c>
      <c r="B341" s="16" t="s">
        <v>24</v>
      </c>
      <c r="C341" s="15" t="s">
        <v>385</v>
      </c>
      <c r="D341" s="15" t="s">
        <v>10</v>
      </c>
      <c r="E341" s="15" t="s">
        <v>381</v>
      </c>
      <c r="F341" s="15" t="s">
        <v>383</v>
      </c>
      <c r="G341" s="6">
        <v>90</v>
      </c>
      <c r="H341" s="6">
        <v>91</v>
      </c>
      <c r="I341" s="6">
        <v>94</v>
      </c>
      <c r="J341" s="6">
        <v>96</v>
      </c>
      <c r="K341" s="6">
        <v>86</v>
      </c>
      <c r="L341" s="6">
        <v>92</v>
      </c>
      <c r="M341" s="6">
        <f t="shared" si="31"/>
        <v>549</v>
      </c>
      <c r="N341" s="15">
        <f>M341/6*3</f>
        <v>274.5</v>
      </c>
    </row>
    <row r="342" spans="1:14">
      <c r="A342" s="15" t="s">
        <v>312</v>
      </c>
      <c r="B342" s="16" t="s">
        <v>24</v>
      </c>
      <c r="C342" s="15" t="s">
        <v>385</v>
      </c>
      <c r="D342" s="15" t="s">
        <v>10</v>
      </c>
      <c r="E342" s="15" t="s">
        <v>51</v>
      </c>
      <c r="F342" s="15" t="s">
        <v>383</v>
      </c>
      <c r="G342" s="6">
        <v>88</v>
      </c>
      <c r="H342" s="6">
        <v>90</v>
      </c>
      <c r="I342" s="6">
        <v>93</v>
      </c>
      <c r="J342" s="6">
        <v>96</v>
      </c>
      <c r="K342" s="6">
        <v>82</v>
      </c>
      <c r="L342" s="6">
        <v>80</v>
      </c>
      <c r="M342" s="6">
        <f t="shared" si="31"/>
        <v>529</v>
      </c>
      <c r="N342" s="15"/>
    </row>
    <row r="343" spans="1:14">
      <c r="A343" s="15" t="s">
        <v>290</v>
      </c>
      <c r="B343" s="16" t="s">
        <v>24</v>
      </c>
      <c r="C343" s="15" t="s">
        <v>384</v>
      </c>
      <c r="D343" s="15" t="s">
        <v>10</v>
      </c>
      <c r="E343" s="15" t="s">
        <v>381</v>
      </c>
      <c r="F343" s="15" t="s">
        <v>383</v>
      </c>
      <c r="G343" s="6">
        <v>87</v>
      </c>
      <c r="H343" s="6">
        <v>90</v>
      </c>
      <c r="I343" s="6">
        <v>95</v>
      </c>
      <c r="J343" s="6">
        <v>95</v>
      </c>
      <c r="K343" s="6">
        <v>78</v>
      </c>
      <c r="L343" s="6">
        <v>78</v>
      </c>
      <c r="M343" s="6">
        <f t="shared" si="31"/>
        <v>523</v>
      </c>
      <c r="N343" s="15">
        <f t="shared" ref="N343:N356" si="41">M343/6*3</f>
        <v>261.5</v>
      </c>
    </row>
    <row r="344" spans="1:14">
      <c r="A344" s="15" t="s">
        <v>96</v>
      </c>
      <c r="B344" s="16" t="s">
        <v>18</v>
      </c>
      <c r="C344" s="15" t="s">
        <v>49</v>
      </c>
      <c r="D344" s="15" t="s">
        <v>10</v>
      </c>
      <c r="E344" s="15" t="s">
        <v>381</v>
      </c>
      <c r="F344" s="15" t="s">
        <v>383</v>
      </c>
      <c r="G344" s="6">
        <v>92</v>
      </c>
      <c r="H344" s="6">
        <v>90</v>
      </c>
      <c r="I344" s="6">
        <v>94</v>
      </c>
      <c r="J344" s="6">
        <v>93</v>
      </c>
      <c r="K344" s="6">
        <v>88</v>
      </c>
      <c r="L344" s="6">
        <v>86</v>
      </c>
      <c r="M344" s="6">
        <f t="shared" si="31"/>
        <v>543</v>
      </c>
      <c r="N344" s="15">
        <f t="shared" si="41"/>
        <v>271.5</v>
      </c>
    </row>
    <row r="345" spans="1:14">
      <c r="A345" s="15" t="s">
        <v>233</v>
      </c>
      <c r="B345" s="16" t="s">
        <v>18</v>
      </c>
      <c r="C345" s="15" t="s">
        <v>382</v>
      </c>
      <c r="D345" s="15" t="s">
        <v>10</v>
      </c>
      <c r="E345" s="15" t="s">
        <v>381</v>
      </c>
      <c r="F345" s="15" t="s">
        <v>383</v>
      </c>
      <c r="G345" s="6">
        <v>74</v>
      </c>
      <c r="H345" s="6">
        <v>77</v>
      </c>
      <c r="I345" s="6">
        <v>91</v>
      </c>
      <c r="J345" s="6">
        <v>93</v>
      </c>
      <c r="K345" s="6">
        <v>71</v>
      </c>
      <c r="L345" s="6">
        <v>58</v>
      </c>
      <c r="M345" s="6">
        <f t="shared" si="31"/>
        <v>464</v>
      </c>
      <c r="N345" s="15">
        <f t="shared" si="41"/>
        <v>232</v>
      </c>
    </row>
    <row r="346" spans="1:14">
      <c r="A346" s="15" t="s">
        <v>291</v>
      </c>
      <c r="B346" s="16" t="s">
        <v>18</v>
      </c>
      <c r="C346" s="15" t="s">
        <v>384</v>
      </c>
      <c r="D346" s="15" t="s">
        <v>10</v>
      </c>
      <c r="E346" s="15" t="s">
        <v>381</v>
      </c>
      <c r="F346" s="15" t="s">
        <v>383</v>
      </c>
      <c r="G346" s="6">
        <v>82</v>
      </c>
      <c r="H346" s="6">
        <v>85</v>
      </c>
      <c r="I346" s="6">
        <v>83</v>
      </c>
      <c r="J346" s="6">
        <v>80</v>
      </c>
      <c r="K346" s="6">
        <v>38</v>
      </c>
      <c r="L346" s="6">
        <v>47</v>
      </c>
      <c r="M346" s="6">
        <f t="shared" si="31"/>
        <v>415</v>
      </c>
      <c r="N346" s="15">
        <f t="shared" si="41"/>
        <v>207.5</v>
      </c>
    </row>
    <row r="347" spans="1:14">
      <c r="A347" s="15" t="s">
        <v>321</v>
      </c>
      <c r="B347" s="16" t="s">
        <v>18</v>
      </c>
      <c r="C347" s="15" t="s">
        <v>385</v>
      </c>
      <c r="D347" s="15" t="s">
        <v>10</v>
      </c>
      <c r="E347" s="15" t="s">
        <v>381</v>
      </c>
      <c r="F347" s="15" t="s">
        <v>383</v>
      </c>
      <c r="G347" s="6">
        <v>84</v>
      </c>
      <c r="H347" s="6">
        <v>77</v>
      </c>
      <c r="I347" s="6">
        <v>83</v>
      </c>
      <c r="J347" s="6">
        <v>85</v>
      </c>
      <c r="K347" s="6">
        <v>51</v>
      </c>
      <c r="L347" s="6">
        <v>74</v>
      </c>
      <c r="M347" s="6">
        <f t="shared" si="31"/>
        <v>454</v>
      </c>
      <c r="N347" s="15">
        <f t="shared" si="41"/>
        <v>227</v>
      </c>
    </row>
    <row r="348" spans="1:14">
      <c r="A348" s="15" t="s">
        <v>77</v>
      </c>
      <c r="B348" s="16" t="s">
        <v>23</v>
      </c>
      <c r="C348" s="15" t="s">
        <v>49</v>
      </c>
      <c r="D348" s="15" t="s">
        <v>10</v>
      </c>
      <c r="E348" s="15" t="s">
        <v>381</v>
      </c>
      <c r="F348" s="15" t="s">
        <v>383</v>
      </c>
      <c r="G348" s="6">
        <v>88</v>
      </c>
      <c r="H348" s="6">
        <v>84</v>
      </c>
      <c r="I348" s="6">
        <v>93</v>
      </c>
      <c r="J348" s="6">
        <v>92</v>
      </c>
      <c r="K348" s="6">
        <v>80</v>
      </c>
      <c r="L348" s="6">
        <v>70</v>
      </c>
      <c r="M348" s="6">
        <f t="shared" si="31"/>
        <v>507</v>
      </c>
      <c r="N348" s="15">
        <f t="shared" si="41"/>
        <v>253.5</v>
      </c>
    </row>
    <row r="349" spans="1:14">
      <c r="A349" s="15" t="s">
        <v>181</v>
      </c>
      <c r="B349" s="16" t="s">
        <v>23</v>
      </c>
      <c r="C349" s="15" t="s">
        <v>382</v>
      </c>
      <c r="D349" s="15" t="s">
        <v>10</v>
      </c>
      <c r="E349" s="15" t="s">
        <v>381</v>
      </c>
      <c r="F349" s="15" t="s">
        <v>383</v>
      </c>
      <c r="G349" s="6">
        <v>84</v>
      </c>
      <c r="H349" s="6">
        <v>79</v>
      </c>
      <c r="I349" s="6">
        <v>92</v>
      </c>
      <c r="J349" s="6">
        <v>91</v>
      </c>
      <c r="K349" s="6">
        <v>71</v>
      </c>
      <c r="L349" s="6">
        <v>68</v>
      </c>
      <c r="M349" s="6">
        <f t="shared" si="31"/>
        <v>485</v>
      </c>
      <c r="N349" s="15">
        <f t="shared" si="41"/>
        <v>242.5</v>
      </c>
    </row>
    <row r="350" spans="1:14">
      <c r="A350" s="15" t="s">
        <v>73</v>
      </c>
      <c r="B350" s="16" t="s">
        <v>20</v>
      </c>
      <c r="C350" s="15" t="s">
        <v>49</v>
      </c>
      <c r="D350" s="15" t="s">
        <v>10</v>
      </c>
      <c r="E350" s="15" t="s">
        <v>381</v>
      </c>
      <c r="F350" s="15" t="s">
        <v>383</v>
      </c>
      <c r="G350" s="6">
        <v>89</v>
      </c>
      <c r="H350" s="6">
        <v>91</v>
      </c>
      <c r="I350" s="6">
        <v>96</v>
      </c>
      <c r="J350" s="6">
        <v>97</v>
      </c>
      <c r="K350" s="6">
        <v>78</v>
      </c>
      <c r="L350" s="6">
        <v>83</v>
      </c>
      <c r="M350" s="6">
        <f t="shared" si="31"/>
        <v>534</v>
      </c>
      <c r="N350" s="15">
        <f t="shared" si="41"/>
        <v>267</v>
      </c>
    </row>
    <row r="351" spans="1:14">
      <c r="A351" s="15" t="s">
        <v>210</v>
      </c>
      <c r="B351" s="16" t="s">
        <v>20</v>
      </c>
      <c r="C351" s="15" t="s">
        <v>382</v>
      </c>
      <c r="D351" s="15" t="s">
        <v>10</v>
      </c>
      <c r="E351" s="15" t="s">
        <v>381</v>
      </c>
      <c r="F351" s="15" t="s">
        <v>383</v>
      </c>
      <c r="G351" s="6">
        <v>96</v>
      </c>
      <c r="H351" s="6">
        <v>95</v>
      </c>
      <c r="I351" s="6">
        <v>95</v>
      </c>
      <c r="J351" s="6">
        <v>96</v>
      </c>
      <c r="K351" s="6">
        <v>92</v>
      </c>
      <c r="L351" s="6">
        <v>94</v>
      </c>
      <c r="M351" s="6">
        <f t="shared" si="31"/>
        <v>568</v>
      </c>
      <c r="N351" s="15">
        <f t="shared" si="41"/>
        <v>284</v>
      </c>
    </row>
    <row r="352" spans="1:14">
      <c r="A352" s="15" t="s">
        <v>313</v>
      </c>
      <c r="B352" s="16" t="s">
        <v>20</v>
      </c>
      <c r="C352" s="15" t="s">
        <v>385</v>
      </c>
      <c r="D352" s="15" t="s">
        <v>10</v>
      </c>
      <c r="E352" s="15" t="s">
        <v>381</v>
      </c>
      <c r="F352" s="15" t="s">
        <v>383</v>
      </c>
      <c r="G352" s="6">
        <v>83</v>
      </c>
      <c r="H352" s="6">
        <v>86</v>
      </c>
      <c r="I352" s="6">
        <v>95</v>
      </c>
      <c r="J352" s="6">
        <v>97</v>
      </c>
      <c r="K352" s="6">
        <v>87</v>
      </c>
      <c r="L352" s="6">
        <v>82</v>
      </c>
      <c r="M352" s="6">
        <f t="shared" si="31"/>
        <v>530</v>
      </c>
      <c r="N352" s="15">
        <f t="shared" si="41"/>
        <v>265</v>
      </c>
    </row>
    <row r="353" spans="1:14">
      <c r="A353" s="15" t="s">
        <v>211</v>
      </c>
      <c r="B353" s="16" t="s">
        <v>19</v>
      </c>
      <c r="C353" s="15" t="s">
        <v>382</v>
      </c>
      <c r="D353" s="15" t="s">
        <v>10</v>
      </c>
      <c r="E353" s="15" t="s">
        <v>381</v>
      </c>
      <c r="F353" s="15" t="s">
        <v>383</v>
      </c>
      <c r="G353" s="6">
        <v>89</v>
      </c>
      <c r="H353" s="6">
        <v>88</v>
      </c>
      <c r="I353" s="6">
        <v>96</v>
      </c>
      <c r="J353" s="6">
        <v>94</v>
      </c>
      <c r="K353" s="6">
        <v>76</v>
      </c>
      <c r="L353" s="6">
        <v>75</v>
      </c>
      <c r="M353" s="6">
        <f t="shared" si="31"/>
        <v>518</v>
      </c>
      <c r="N353" s="15">
        <f t="shared" si="41"/>
        <v>259</v>
      </c>
    </row>
    <row r="354" spans="1:14">
      <c r="A354" s="15" t="s">
        <v>284</v>
      </c>
      <c r="B354" s="16" t="s">
        <v>19</v>
      </c>
      <c r="C354" s="15" t="s">
        <v>384</v>
      </c>
      <c r="D354" s="15" t="s">
        <v>10</v>
      </c>
      <c r="E354" s="15" t="s">
        <v>381</v>
      </c>
      <c r="F354" s="15" t="s">
        <v>383</v>
      </c>
      <c r="G354" s="6">
        <v>87</v>
      </c>
      <c r="H354" s="6">
        <v>75</v>
      </c>
      <c r="I354" s="6">
        <v>92</v>
      </c>
      <c r="J354" s="6">
        <v>88</v>
      </c>
      <c r="K354" s="6">
        <v>59</v>
      </c>
      <c r="L354" s="6">
        <v>53</v>
      </c>
      <c r="M354" s="6">
        <f t="shared" si="31"/>
        <v>454</v>
      </c>
      <c r="N354" s="15">
        <f t="shared" si="41"/>
        <v>227</v>
      </c>
    </row>
    <row r="355" spans="1:14">
      <c r="A355" s="15" t="s">
        <v>318</v>
      </c>
      <c r="B355" s="16" t="s">
        <v>19</v>
      </c>
      <c r="C355" s="15" t="s">
        <v>385</v>
      </c>
      <c r="D355" s="15" t="s">
        <v>10</v>
      </c>
      <c r="E355" s="15" t="s">
        <v>381</v>
      </c>
      <c r="F355" s="15" t="s">
        <v>383</v>
      </c>
      <c r="G355" s="6">
        <v>74</v>
      </c>
      <c r="H355" s="6">
        <v>57</v>
      </c>
      <c r="I355" s="6">
        <v>81</v>
      </c>
      <c r="J355" s="6">
        <v>80</v>
      </c>
      <c r="K355" s="6">
        <v>48</v>
      </c>
      <c r="L355" s="6">
        <v>34</v>
      </c>
      <c r="M355" s="6">
        <f t="shared" si="31"/>
        <v>374</v>
      </c>
      <c r="N355" s="15">
        <f t="shared" si="41"/>
        <v>187</v>
      </c>
    </row>
    <row r="356" spans="1:14">
      <c r="A356" s="15" t="s">
        <v>55</v>
      </c>
      <c r="B356" s="16" t="s">
        <v>19</v>
      </c>
      <c r="C356" s="15" t="s">
        <v>49</v>
      </c>
      <c r="D356" s="15" t="s">
        <v>10</v>
      </c>
      <c r="E356" s="15" t="s">
        <v>381</v>
      </c>
      <c r="F356" s="15" t="s">
        <v>383</v>
      </c>
      <c r="G356" s="6">
        <v>90</v>
      </c>
      <c r="H356" s="6">
        <v>92</v>
      </c>
      <c r="I356" s="6">
        <v>96</v>
      </c>
      <c r="J356" s="6">
        <v>98</v>
      </c>
      <c r="K356" s="6">
        <v>72</v>
      </c>
      <c r="L356" s="6">
        <v>75</v>
      </c>
      <c r="M356" s="6">
        <f t="shared" si="31"/>
        <v>523</v>
      </c>
      <c r="N356" s="15">
        <f t="shared" si="41"/>
        <v>261.5</v>
      </c>
    </row>
    <row r="357" spans="1:14">
      <c r="A357" s="15" t="s">
        <v>65</v>
      </c>
      <c r="B357" s="16" t="s">
        <v>14</v>
      </c>
      <c r="C357" s="15" t="s">
        <v>49</v>
      </c>
      <c r="D357" s="15" t="s">
        <v>10</v>
      </c>
      <c r="E357" s="15" t="s">
        <v>51</v>
      </c>
      <c r="F357" s="15" t="s">
        <v>383</v>
      </c>
      <c r="G357" s="6">
        <v>92</v>
      </c>
      <c r="H357" s="6">
        <v>92</v>
      </c>
      <c r="I357" s="6">
        <v>95</v>
      </c>
      <c r="J357" s="6">
        <v>96</v>
      </c>
      <c r="K357" s="6">
        <v>91</v>
      </c>
      <c r="L357" s="6">
        <v>88</v>
      </c>
      <c r="M357" s="6">
        <f t="shared" si="31"/>
        <v>554</v>
      </c>
      <c r="N357" s="15"/>
    </row>
    <row r="358" spans="1:14">
      <c r="A358" s="15" t="s">
        <v>64</v>
      </c>
      <c r="B358" s="16" t="s">
        <v>14</v>
      </c>
      <c r="C358" s="15" t="s">
        <v>49</v>
      </c>
      <c r="D358" s="15" t="s">
        <v>10</v>
      </c>
      <c r="E358" s="15" t="s">
        <v>381</v>
      </c>
      <c r="F358" s="15" t="s">
        <v>383</v>
      </c>
      <c r="G358" s="6">
        <v>96</v>
      </c>
      <c r="H358" s="6">
        <v>97</v>
      </c>
      <c r="I358" s="6">
        <v>99</v>
      </c>
      <c r="J358" s="6">
        <v>98</v>
      </c>
      <c r="K358" s="6">
        <v>89</v>
      </c>
      <c r="L358" s="6">
        <v>86</v>
      </c>
      <c r="M358" s="6">
        <f t="shared" si="31"/>
        <v>565</v>
      </c>
      <c r="N358" s="15">
        <f t="shared" ref="N358:N369" si="42">M358/6*3</f>
        <v>282.5</v>
      </c>
    </row>
    <row r="359" spans="1:14">
      <c r="A359" s="15" t="s">
        <v>283</v>
      </c>
      <c r="B359" s="16" t="s">
        <v>14</v>
      </c>
      <c r="C359" s="15" t="s">
        <v>384</v>
      </c>
      <c r="D359" s="15" t="s">
        <v>10</v>
      </c>
      <c r="E359" s="15" t="s">
        <v>381</v>
      </c>
      <c r="F359" s="15" t="s">
        <v>383</v>
      </c>
      <c r="G359" s="6">
        <v>80</v>
      </c>
      <c r="H359" s="6">
        <v>87</v>
      </c>
      <c r="I359" s="6">
        <v>94</v>
      </c>
      <c r="J359" s="6">
        <v>91</v>
      </c>
      <c r="K359" s="6">
        <v>64</v>
      </c>
      <c r="L359" s="6">
        <v>59</v>
      </c>
      <c r="M359" s="6">
        <f t="shared" si="31"/>
        <v>475</v>
      </c>
      <c r="N359" s="15">
        <f t="shared" si="42"/>
        <v>237.5</v>
      </c>
    </row>
    <row r="360" spans="1:14">
      <c r="A360" s="15" t="s">
        <v>206</v>
      </c>
      <c r="B360" s="16" t="s">
        <v>14</v>
      </c>
      <c r="C360" s="15" t="s">
        <v>382</v>
      </c>
      <c r="D360" s="15" t="s">
        <v>10</v>
      </c>
      <c r="E360" s="15" t="s">
        <v>381</v>
      </c>
      <c r="F360" s="15" t="s">
        <v>383</v>
      </c>
      <c r="G360" s="6">
        <v>95</v>
      </c>
      <c r="H360" s="6">
        <v>93</v>
      </c>
      <c r="I360" s="6">
        <v>97</v>
      </c>
      <c r="J360" s="6">
        <v>99</v>
      </c>
      <c r="K360" s="6">
        <v>91</v>
      </c>
      <c r="L360" s="6">
        <v>96</v>
      </c>
      <c r="M360" s="6">
        <f t="shared" si="31"/>
        <v>571</v>
      </c>
      <c r="N360" s="15">
        <f t="shared" si="42"/>
        <v>285.5</v>
      </c>
    </row>
    <row r="361" spans="1:14">
      <c r="A361" s="15" t="s">
        <v>310</v>
      </c>
      <c r="B361" s="16" t="s">
        <v>14</v>
      </c>
      <c r="C361" s="15" t="s">
        <v>385</v>
      </c>
      <c r="D361" s="15" t="s">
        <v>10</v>
      </c>
      <c r="E361" s="15" t="s">
        <v>381</v>
      </c>
      <c r="F361" s="15" t="s">
        <v>383</v>
      </c>
      <c r="G361" s="6">
        <v>95</v>
      </c>
      <c r="H361" s="6">
        <v>98</v>
      </c>
      <c r="I361" s="6">
        <v>98</v>
      </c>
      <c r="J361" s="6">
        <v>90</v>
      </c>
      <c r="K361" s="6">
        <v>87</v>
      </c>
      <c r="L361" s="6">
        <v>93</v>
      </c>
      <c r="M361" s="6">
        <f t="shared" si="31"/>
        <v>561</v>
      </c>
      <c r="N361" s="15">
        <f t="shared" si="42"/>
        <v>280.5</v>
      </c>
    </row>
    <row r="362" spans="1:14">
      <c r="A362" s="15" t="s">
        <v>70</v>
      </c>
      <c r="B362" s="16" t="s">
        <v>21</v>
      </c>
      <c r="C362" s="15" t="s">
        <v>49</v>
      </c>
      <c r="D362" s="15" t="s">
        <v>10</v>
      </c>
      <c r="E362" s="15" t="s">
        <v>381</v>
      </c>
      <c r="F362" s="15" t="s">
        <v>383</v>
      </c>
      <c r="G362" s="6">
        <v>90</v>
      </c>
      <c r="H362" s="6">
        <v>97</v>
      </c>
      <c r="I362" s="6">
        <v>96</v>
      </c>
      <c r="J362" s="6">
        <v>97</v>
      </c>
      <c r="K362" s="6">
        <v>87</v>
      </c>
      <c r="L362" s="6">
        <v>81</v>
      </c>
      <c r="M362" s="6">
        <f t="shared" si="31"/>
        <v>548</v>
      </c>
      <c r="N362" s="15">
        <f t="shared" si="42"/>
        <v>274</v>
      </c>
    </row>
    <row r="363" spans="1:14">
      <c r="A363" s="15" t="s">
        <v>217</v>
      </c>
      <c r="B363" s="16" t="s">
        <v>21</v>
      </c>
      <c r="C363" s="15" t="s">
        <v>382</v>
      </c>
      <c r="D363" s="15" t="s">
        <v>10</v>
      </c>
      <c r="E363" s="15" t="s">
        <v>381</v>
      </c>
      <c r="F363" s="15" t="s">
        <v>383</v>
      </c>
      <c r="G363" s="6">
        <v>74</v>
      </c>
      <c r="H363" s="6">
        <v>68</v>
      </c>
      <c r="I363" s="6">
        <v>79</v>
      </c>
      <c r="J363" s="6">
        <v>71</v>
      </c>
      <c r="K363" s="6">
        <v>27</v>
      </c>
      <c r="L363" s="6">
        <v>33</v>
      </c>
      <c r="M363" s="6">
        <f t="shared" si="31"/>
        <v>352</v>
      </c>
      <c r="N363" s="15">
        <f t="shared" si="42"/>
        <v>176</v>
      </c>
    </row>
    <row r="364" spans="1:14">
      <c r="A364" s="15" t="s">
        <v>282</v>
      </c>
      <c r="B364" s="16" t="s">
        <v>21</v>
      </c>
      <c r="C364" s="15" t="s">
        <v>384</v>
      </c>
      <c r="D364" s="15" t="s">
        <v>10</v>
      </c>
      <c r="E364" s="15" t="s">
        <v>381</v>
      </c>
      <c r="F364" s="15" t="s">
        <v>383</v>
      </c>
      <c r="G364" s="6">
        <v>81</v>
      </c>
      <c r="H364" s="6">
        <v>88</v>
      </c>
      <c r="I364" s="6">
        <v>93</v>
      </c>
      <c r="J364" s="6">
        <v>89</v>
      </c>
      <c r="K364" s="6">
        <v>68</v>
      </c>
      <c r="L364" s="6">
        <v>71</v>
      </c>
      <c r="M364" s="6">
        <f t="shared" si="31"/>
        <v>490</v>
      </c>
      <c r="N364" s="15">
        <f t="shared" si="42"/>
        <v>245</v>
      </c>
    </row>
    <row r="365" spans="1:14">
      <c r="A365" s="15" t="s">
        <v>314</v>
      </c>
      <c r="B365" s="16" t="s">
        <v>21</v>
      </c>
      <c r="C365" s="15" t="s">
        <v>385</v>
      </c>
      <c r="D365" s="15" t="s">
        <v>10</v>
      </c>
      <c r="E365" s="15" t="s">
        <v>381</v>
      </c>
      <c r="F365" s="15" t="s">
        <v>383</v>
      </c>
      <c r="G365" s="6">
        <v>85</v>
      </c>
      <c r="H365" s="6">
        <v>88</v>
      </c>
      <c r="I365" s="6">
        <v>90</v>
      </c>
      <c r="J365" s="6">
        <v>92</v>
      </c>
      <c r="K365" s="6">
        <v>78</v>
      </c>
      <c r="L365" s="6">
        <v>74</v>
      </c>
      <c r="M365" s="6">
        <f t="shared" si="31"/>
        <v>507</v>
      </c>
      <c r="N365" s="15">
        <f t="shared" si="42"/>
        <v>253.5</v>
      </c>
    </row>
    <row r="366" spans="1:14">
      <c r="A366" s="15" t="s">
        <v>286</v>
      </c>
      <c r="B366" s="16" t="s">
        <v>22</v>
      </c>
      <c r="C366" s="15" t="s">
        <v>384</v>
      </c>
      <c r="D366" s="15" t="s">
        <v>10</v>
      </c>
      <c r="E366" s="15" t="s">
        <v>381</v>
      </c>
      <c r="F366" s="15" t="s">
        <v>383</v>
      </c>
      <c r="G366" s="6">
        <v>52</v>
      </c>
      <c r="H366" s="6">
        <v>45</v>
      </c>
      <c r="I366" s="6">
        <v>85</v>
      </c>
      <c r="J366" s="6">
        <v>91</v>
      </c>
      <c r="K366" s="6">
        <v>30</v>
      </c>
      <c r="L366" s="6">
        <v>40</v>
      </c>
      <c r="M366" s="6">
        <f t="shared" si="31"/>
        <v>343</v>
      </c>
      <c r="N366" s="15">
        <f t="shared" si="42"/>
        <v>171.5</v>
      </c>
    </row>
    <row r="367" spans="1:14">
      <c r="A367" s="15" t="s">
        <v>315</v>
      </c>
      <c r="B367" s="16" t="s">
        <v>22</v>
      </c>
      <c r="C367" s="15" t="s">
        <v>385</v>
      </c>
      <c r="D367" s="15" t="s">
        <v>10</v>
      </c>
      <c r="E367" s="15" t="s">
        <v>381</v>
      </c>
      <c r="F367" s="15" t="s">
        <v>383</v>
      </c>
      <c r="G367" s="6">
        <v>71</v>
      </c>
      <c r="H367" s="6">
        <v>67</v>
      </c>
      <c r="I367" s="6">
        <v>84</v>
      </c>
      <c r="J367" s="6">
        <v>80</v>
      </c>
      <c r="K367" s="6">
        <v>59</v>
      </c>
      <c r="L367" s="6">
        <v>45</v>
      </c>
      <c r="M367" s="6">
        <f t="shared" si="31"/>
        <v>406</v>
      </c>
      <c r="N367" s="15">
        <f t="shared" si="42"/>
        <v>203</v>
      </c>
    </row>
    <row r="368" spans="1:14">
      <c r="A368" s="15" t="s">
        <v>99</v>
      </c>
      <c r="B368" s="16" t="s">
        <v>22</v>
      </c>
      <c r="C368" s="15" t="s">
        <v>49</v>
      </c>
      <c r="D368" s="15" t="s">
        <v>10</v>
      </c>
      <c r="E368" s="15" t="s">
        <v>381</v>
      </c>
      <c r="F368" s="15" t="s">
        <v>383</v>
      </c>
      <c r="G368" s="6">
        <v>63</v>
      </c>
      <c r="H368" s="6">
        <v>54</v>
      </c>
      <c r="I368" s="6">
        <v>89</v>
      </c>
      <c r="J368" s="6">
        <v>89</v>
      </c>
      <c r="K368" s="6">
        <v>43</v>
      </c>
      <c r="L368" s="6">
        <v>58</v>
      </c>
      <c r="M368" s="6">
        <f t="shared" si="31"/>
        <v>396</v>
      </c>
      <c r="N368" s="15">
        <f t="shared" si="42"/>
        <v>198</v>
      </c>
    </row>
    <row r="369" spans="1:14">
      <c r="A369" s="15" t="s">
        <v>212</v>
      </c>
      <c r="B369" s="16" t="s">
        <v>22</v>
      </c>
      <c r="C369" s="15" t="s">
        <v>382</v>
      </c>
      <c r="D369" s="15" t="s">
        <v>10</v>
      </c>
      <c r="E369" s="15" t="s">
        <v>381</v>
      </c>
      <c r="F369" s="15" t="s">
        <v>383</v>
      </c>
      <c r="G369" s="6">
        <v>86</v>
      </c>
      <c r="H369" s="6">
        <v>75</v>
      </c>
      <c r="I369" s="6">
        <v>100</v>
      </c>
      <c r="J369" s="6">
        <v>92</v>
      </c>
      <c r="K369" s="6">
        <v>76</v>
      </c>
      <c r="L369" s="6">
        <v>71</v>
      </c>
      <c r="M369" s="6">
        <f t="shared" si="31"/>
        <v>500</v>
      </c>
      <c r="N369" s="15">
        <f t="shared" si="42"/>
        <v>250</v>
      </c>
    </row>
    <row r="370" spans="1:14">
      <c r="A370" s="15" t="s">
        <v>71</v>
      </c>
      <c r="B370" s="16" t="s">
        <v>15</v>
      </c>
      <c r="C370" s="15" t="s">
        <v>49</v>
      </c>
      <c r="D370" s="16" t="s">
        <v>10</v>
      </c>
      <c r="E370" s="15" t="s">
        <v>51</v>
      </c>
      <c r="F370" s="15" t="s">
        <v>52</v>
      </c>
      <c r="G370" s="6">
        <v>94</v>
      </c>
      <c r="H370" s="6">
        <v>91</v>
      </c>
      <c r="I370" s="6">
        <v>95</v>
      </c>
      <c r="J370" s="6">
        <v>95</v>
      </c>
      <c r="K370" s="6">
        <v>90</v>
      </c>
      <c r="L370" s="6">
        <v>89</v>
      </c>
      <c r="M370" s="6">
        <f t="shared" si="31"/>
        <v>554</v>
      </c>
      <c r="N370" s="15"/>
    </row>
    <row r="371" spans="1:14">
      <c r="A371" s="15" t="s">
        <v>350</v>
      </c>
      <c r="B371" s="16" t="s">
        <v>13</v>
      </c>
      <c r="C371" s="15" t="s">
        <v>386</v>
      </c>
      <c r="D371" s="16" t="s">
        <v>11</v>
      </c>
      <c r="E371" s="15" t="s">
        <v>381</v>
      </c>
      <c r="F371" s="15" t="s">
        <v>52</v>
      </c>
      <c r="G371" s="6">
        <v>91.2</v>
      </c>
      <c r="H371" s="6">
        <v>95.1</v>
      </c>
      <c r="I371" s="6">
        <v>98.1</v>
      </c>
      <c r="M371" s="6">
        <f t="shared" si="31"/>
        <v>284.39999999999998</v>
      </c>
      <c r="N371" s="15">
        <f>M371</f>
        <v>284.39999999999998</v>
      </c>
    </row>
    <row r="372" spans="1:14">
      <c r="A372" s="15" t="s">
        <v>323</v>
      </c>
      <c r="B372" s="16" t="s">
        <v>13</v>
      </c>
      <c r="C372" s="15" t="s">
        <v>385</v>
      </c>
      <c r="D372" s="16" t="s">
        <v>11</v>
      </c>
      <c r="E372" s="15" t="s">
        <v>51</v>
      </c>
      <c r="F372" s="15" t="s">
        <v>52</v>
      </c>
      <c r="G372" s="6">
        <v>101.1</v>
      </c>
      <c r="H372" s="6">
        <v>101.3</v>
      </c>
      <c r="I372" s="6">
        <v>103.3</v>
      </c>
      <c r="M372" s="6">
        <f t="shared" si="31"/>
        <v>305.7</v>
      </c>
      <c r="N372" s="15"/>
    </row>
    <row r="373" spans="1:14">
      <c r="A373" s="15" t="s">
        <v>293</v>
      </c>
      <c r="B373" s="16" t="s">
        <v>13</v>
      </c>
      <c r="C373" s="15" t="s">
        <v>384</v>
      </c>
      <c r="D373" s="16" t="s">
        <v>11</v>
      </c>
      <c r="E373" s="15" t="s">
        <v>51</v>
      </c>
      <c r="F373" s="15" t="s">
        <v>52</v>
      </c>
      <c r="G373" s="6">
        <v>97.5</v>
      </c>
      <c r="H373" s="6">
        <v>98.3</v>
      </c>
      <c r="I373" s="6">
        <v>99.7</v>
      </c>
      <c r="M373" s="6">
        <f t="shared" si="31"/>
        <v>295.5</v>
      </c>
      <c r="N373" s="15"/>
    </row>
    <row r="374" spans="1:14">
      <c r="A374" s="15" t="s">
        <v>358</v>
      </c>
      <c r="B374" s="16" t="s">
        <v>13</v>
      </c>
      <c r="C374" s="15" t="s">
        <v>387</v>
      </c>
      <c r="D374" s="16" t="s">
        <v>11</v>
      </c>
      <c r="E374" s="15" t="s">
        <v>381</v>
      </c>
      <c r="F374" s="15" t="s">
        <v>52</v>
      </c>
      <c r="G374" s="6">
        <v>100.6</v>
      </c>
      <c r="H374" s="6">
        <v>101.2</v>
      </c>
      <c r="I374" s="6">
        <v>100.4</v>
      </c>
      <c r="M374" s="6">
        <f t="shared" si="31"/>
        <v>302.20000000000005</v>
      </c>
      <c r="N374" s="15">
        <f t="shared" ref="N374:N375" si="43">M374</f>
        <v>302.20000000000005</v>
      </c>
    </row>
    <row r="375" spans="1:14">
      <c r="A375" s="15" t="s">
        <v>324</v>
      </c>
      <c r="B375" s="16" t="s">
        <v>13</v>
      </c>
      <c r="C375" s="15" t="s">
        <v>385</v>
      </c>
      <c r="D375" s="16" t="s">
        <v>11</v>
      </c>
      <c r="E375" s="15" t="s">
        <v>381</v>
      </c>
      <c r="F375" s="15" t="s">
        <v>52</v>
      </c>
      <c r="G375" s="6">
        <v>99.4</v>
      </c>
      <c r="H375" s="6">
        <v>100.4</v>
      </c>
      <c r="I375" s="6">
        <v>102.1</v>
      </c>
      <c r="M375" s="6">
        <f t="shared" si="31"/>
        <v>301.89999999999998</v>
      </c>
      <c r="N375" s="15">
        <f t="shared" si="43"/>
        <v>301.89999999999998</v>
      </c>
    </row>
    <row r="376" spans="1:14">
      <c r="A376" s="15" t="s">
        <v>357</v>
      </c>
      <c r="B376" s="16" t="s">
        <v>13</v>
      </c>
      <c r="C376" s="15" t="s">
        <v>387</v>
      </c>
      <c r="D376" s="16" t="s">
        <v>11</v>
      </c>
      <c r="E376" s="15" t="s">
        <v>51</v>
      </c>
      <c r="F376" s="15" t="s">
        <v>52</v>
      </c>
      <c r="G376" s="6">
        <v>100.8</v>
      </c>
      <c r="H376" s="6">
        <v>101.4</v>
      </c>
      <c r="I376" s="6">
        <v>101.1</v>
      </c>
      <c r="M376" s="6">
        <f t="shared" si="31"/>
        <v>303.29999999999995</v>
      </c>
      <c r="N376" s="15"/>
    </row>
    <row r="377" spans="1:14">
      <c r="A377" s="15" t="s">
        <v>329</v>
      </c>
      <c r="B377" s="16" t="s">
        <v>13</v>
      </c>
      <c r="C377" s="15" t="s">
        <v>385</v>
      </c>
      <c r="D377" s="16" t="s">
        <v>11</v>
      </c>
      <c r="E377" s="15" t="s">
        <v>51</v>
      </c>
      <c r="F377" s="15" t="s">
        <v>52</v>
      </c>
      <c r="G377" s="6">
        <v>94</v>
      </c>
      <c r="H377" s="6">
        <v>94.5</v>
      </c>
      <c r="I377" s="6">
        <v>91.7</v>
      </c>
      <c r="M377" s="6">
        <f t="shared" si="31"/>
        <v>280.2</v>
      </c>
      <c r="N377" s="15"/>
    </row>
    <row r="378" spans="1:14">
      <c r="A378" s="15" t="s">
        <v>144</v>
      </c>
      <c r="B378" s="16" t="s">
        <v>13</v>
      </c>
      <c r="C378" s="15" t="s">
        <v>49</v>
      </c>
      <c r="D378" s="16" t="s">
        <v>11</v>
      </c>
      <c r="E378" s="15" t="s">
        <v>381</v>
      </c>
      <c r="F378" s="15" t="s">
        <v>52</v>
      </c>
      <c r="G378" s="6">
        <v>102.2</v>
      </c>
      <c r="H378" s="6">
        <v>104.5</v>
      </c>
      <c r="I378" s="6">
        <v>100.6</v>
      </c>
      <c r="M378" s="6">
        <f t="shared" si="31"/>
        <v>307.29999999999995</v>
      </c>
      <c r="N378" s="15">
        <f t="shared" ref="N378:N396" si="44">M378</f>
        <v>307.29999999999995</v>
      </c>
    </row>
    <row r="379" spans="1:14">
      <c r="A379" s="15" t="s">
        <v>248</v>
      </c>
      <c r="B379" s="16" t="s">
        <v>13</v>
      </c>
      <c r="C379" s="15" t="s">
        <v>382</v>
      </c>
      <c r="D379" s="16" t="s">
        <v>11</v>
      </c>
      <c r="E379" s="15" t="s">
        <v>381</v>
      </c>
      <c r="F379" s="15" t="s">
        <v>52</v>
      </c>
      <c r="G379" s="6">
        <v>99.1</v>
      </c>
      <c r="H379" s="6">
        <v>103.4</v>
      </c>
      <c r="I379" s="6">
        <v>104.1</v>
      </c>
      <c r="M379" s="6">
        <f t="shared" si="31"/>
        <v>306.60000000000002</v>
      </c>
      <c r="N379" s="15">
        <f t="shared" si="44"/>
        <v>306.60000000000002</v>
      </c>
    </row>
    <row r="380" spans="1:14">
      <c r="A380" s="15" t="s">
        <v>292</v>
      </c>
      <c r="B380" s="16" t="s">
        <v>13</v>
      </c>
      <c r="C380" s="15" t="s">
        <v>384</v>
      </c>
      <c r="D380" s="16" t="s">
        <v>11</v>
      </c>
      <c r="E380" s="15" t="s">
        <v>381</v>
      </c>
      <c r="F380" s="15" t="s">
        <v>52</v>
      </c>
      <c r="G380" s="6">
        <v>100.8</v>
      </c>
      <c r="H380" s="6">
        <v>97.2</v>
      </c>
      <c r="I380" s="6">
        <v>102.6</v>
      </c>
      <c r="M380" s="6">
        <f t="shared" si="31"/>
        <v>300.60000000000002</v>
      </c>
      <c r="N380" s="15">
        <f t="shared" si="44"/>
        <v>300.60000000000002</v>
      </c>
    </row>
    <row r="381" spans="1:14">
      <c r="A381" s="15" t="s">
        <v>257</v>
      </c>
      <c r="B381" s="16" t="s">
        <v>16</v>
      </c>
      <c r="C381" s="15" t="s">
        <v>382</v>
      </c>
      <c r="D381" s="16" t="s">
        <v>11</v>
      </c>
      <c r="E381" s="15" t="s">
        <v>381</v>
      </c>
      <c r="F381" s="15" t="s">
        <v>52</v>
      </c>
      <c r="G381" s="6">
        <v>94.5</v>
      </c>
      <c r="H381" s="6">
        <v>96.3</v>
      </c>
      <c r="I381" s="6">
        <v>85.3</v>
      </c>
      <c r="M381" s="6">
        <f t="shared" si="31"/>
        <v>276.10000000000002</v>
      </c>
      <c r="N381" s="15">
        <f t="shared" si="44"/>
        <v>276.10000000000002</v>
      </c>
    </row>
    <row r="382" spans="1:14">
      <c r="A382" s="15" t="s">
        <v>62</v>
      </c>
      <c r="B382" s="16" t="s">
        <v>16</v>
      </c>
      <c r="C382" s="15" t="s">
        <v>49</v>
      </c>
      <c r="D382" s="16" t="s">
        <v>11</v>
      </c>
      <c r="E382" s="15" t="s">
        <v>381</v>
      </c>
      <c r="F382" s="15" t="s">
        <v>52</v>
      </c>
      <c r="G382" s="6">
        <v>104.2</v>
      </c>
      <c r="H382" s="6">
        <v>103.6</v>
      </c>
      <c r="I382" s="6">
        <v>105.4</v>
      </c>
      <c r="M382" s="6">
        <f t="shared" si="31"/>
        <v>313.20000000000005</v>
      </c>
      <c r="N382" s="15">
        <f t="shared" si="44"/>
        <v>313.20000000000005</v>
      </c>
    </row>
    <row r="383" spans="1:14">
      <c r="A383" s="15" t="s">
        <v>281</v>
      </c>
      <c r="B383" s="16" t="s">
        <v>16</v>
      </c>
      <c r="C383" s="15" t="s">
        <v>384</v>
      </c>
      <c r="D383" s="16" t="s">
        <v>11</v>
      </c>
      <c r="E383" s="15" t="s">
        <v>381</v>
      </c>
      <c r="F383" s="15" t="s">
        <v>52</v>
      </c>
      <c r="G383" s="6">
        <v>96.3</v>
      </c>
      <c r="H383" s="6">
        <v>93.6</v>
      </c>
      <c r="I383" s="6">
        <v>93.6</v>
      </c>
      <c r="M383" s="6">
        <f t="shared" si="31"/>
        <v>283.5</v>
      </c>
      <c r="N383" s="15">
        <f t="shared" si="44"/>
        <v>283.5</v>
      </c>
    </row>
    <row r="384" spans="1:14">
      <c r="A384" s="15" t="s">
        <v>333</v>
      </c>
      <c r="B384" s="16" t="s">
        <v>16</v>
      </c>
      <c r="C384" s="15" t="s">
        <v>385</v>
      </c>
      <c r="D384" s="16" t="s">
        <v>11</v>
      </c>
      <c r="E384" s="15" t="s">
        <v>381</v>
      </c>
      <c r="F384" s="15" t="s">
        <v>52</v>
      </c>
      <c r="G384" s="6">
        <v>85.8</v>
      </c>
      <c r="H384" s="6">
        <v>86.5</v>
      </c>
      <c r="I384" s="6">
        <v>90.2</v>
      </c>
      <c r="M384" s="6">
        <f t="shared" si="31"/>
        <v>262.5</v>
      </c>
      <c r="N384" s="15">
        <f t="shared" si="44"/>
        <v>262.5</v>
      </c>
    </row>
    <row r="385" spans="1:14">
      <c r="A385" s="15" t="s">
        <v>345</v>
      </c>
      <c r="B385" s="16" t="s">
        <v>16</v>
      </c>
      <c r="C385" s="15" t="s">
        <v>386</v>
      </c>
      <c r="D385" s="16" t="s">
        <v>11</v>
      </c>
      <c r="E385" s="15" t="s">
        <v>381</v>
      </c>
      <c r="F385" s="15" t="s">
        <v>52</v>
      </c>
      <c r="G385" s="6">
        <v>101.8</v>
      </c>
      <c r="H385" s="6">
        <v>100.2</v>
      </c>
      <c r="I385" s="6">
        <v>102.4</v>
      </c>
      <c r="M385" s="6">
        <f t="shared" si="31"/>
        <v>304.39999999999998</v>
      </c>
      <c r="N385" s="15">
        <f t="shared" si="44"/>
        <v>304.39999999999998</v>
      </c>
    </row>
    <row r="386" spans="1:14">
      <c r="A386" s="15" t="s">
        <v>355</v>
      </c>
      <c r="B386" s="16" t="s">
        <v>16</v>
      </c>
      <c r="C386" s="15" t="s">
        <v>387</v>
      </c>
      <c r="D386" s="16" t="s">
        <v>11</v>
      </c>
      <c r="E386" s="15" t="s">
        <v>381</v>
      </c>
      <c r="F386" s="15" t="s">
        <v>52</v>
      </c>
      <c r="G386" s="6">
        <v>102.5</v>
      </c>
      <c r="H386" s="6">
        <v>101.3</v>
      </c>
      <c r="I386" s="6">
        <v>102.8</v>
      </c>
      <c r="M386" s="6">
        <f t="shared" si="31"/>
        <v>306.60000000000002</v>
      </c>
      <c r="N386" s="15">
        <f t="shared" si="44"/>
        <v>306.60000000000002</v>
      </c>
    </row>
    <row r="387" spans="1:14">
      <c r="A387" s="15" t="s">
        <v>148</v>
      </c>
      <c r="B387" s="16" t="s">
        <v>25</v>
      </c>
      <c r="C387" s="15" t="s">
        <v>49</v>
      </c>
      <c r="D387" s="16" t="s">
        <v>11</v>
      </c>
      <c r="E387" s="15" t="s">
        <v>381</v>
      </c>
      <c r="F387" s="15" t="s">
        <v>52</v>
      </c>
      <c r="G387" s="6">
        <v>97.9</v>
      </c>
      <c r="H387" s="6">
        <v>98.4</v>
      </c>
      <c r="I387" s="6">
        <v>99.1</v>
      </c>
      <c r="M387" s="6">
        <f t="shared" si="31"/>
        <v>295.39999999999998</v>
      </c>
      <c r="N387" s="15">
        <f t="shared" si="44"/>
        <v>295.39999999999998</v>
      </c>
    </row>
    <row r="388" spans="1:14">
      <c r="A388" s="15" t="s">
        <v>230</v>
      </c>
      <c r="B388" s="16" t="s">
        <v>25</v>
      </c>
      <c r="C388" s="15" t="s">
        <v>382</v>
      </c>
      <c r="D388" s="16" t="s">
        <v>11</v>
      </c>
      <c r="E388" s="15" t="s">
        <v>381</v>
      </c>
      <c r="F388" s="15" t="s">
        <v>52</v>
      </c>
      <c r="G388" s="6">
        <v>94.2</v>
      </c>
      <c r="H388" s="6">
        <v>93.7</v>
      </c>
      <c r="I388" s="6">
        <v>93.2</v>
      </c>
      <c r="M388" s="6">
        <f t="shared" si="31"/>
        <v>281.10000000000002</v>
      </c>
      <c r="N388" s="15">
        <f t="shared" si="44"/>
        <v>281.10000000000002</v>
      </c>
    </row>
    <row r="389" spans="1:14">
      <c r="A389" s="15" t="s">
        <v>365</v>
      </c>
      <c r="B389" s="16" t="s">
        <v>17</v>
      </c>
      <c r="C389" s="15" t="s">
        <v>387</v>
      </c>
      <c r="D389" s="16" t="s">
        <v>11</v>
      </c>
      <c r="E389" s="15" t="s">
        <v>381</v>
      </c>
      <c r="F389" s="15" t="s">
        <v>52</v>
      </c>
      <c r="G389" s="6">
        <v>90</v>
      </c>
      <c r="H389" s="6">
        <v>96.2</v>
      </c>
      <c r="I389" s="6">
        <v>86.8</v>
      </c>
      <c r="M389" s="6">
        <f t="shared" si="31"/>
        <v>273</v>
      </c>
      <c r="N389" s="15">
        <f t="shared" si="44"/>
        <v>273</v>
      </c>
    </row>
    <row r="390" spans="1:14">
      <c r="A390" s="15" t="s">
        <v>295</v>
      </c>
      <c r="B390" s="16" t="s">
        <v>17</v>
      </c>
      <c r="C390" s="15" t="s">
        <v>384</v>
      </c>
      <c r="D390" s="16" t="s">
        <v>11</v>
      </c>
      <c r="E390" s="15" t="s">
        <v>381</v>
      </c>
      <c r="F390" s="15" t="s">
        <v>52</v>
      </c>
      <c r="G390" s="6">
        <v>95.5</v>
      </c>
      <c r="H390" s="6">
        <v>95.2</v>
      </c>
      <c r="I390" s="6">
        <v>98.7</v>
      </c>
      <c r="M390" s="6">
        <f t="shared" si="31"/>
        <v>289.39999999999998</v>
      </c>
      <c r="N390" s="15">
        <f t="shared" si="44"/>
        <v>289.39999999999998</v>
      </c>
    </row>
    <row r="391" spans="1:14">
      <c r="A391" s="15" t="s">
        <v>311</v>
      </c>
      <c r="B391" s="16" t="s">
        <v>17</v>
      </c>
      <c r="C391" s="15" t="s">
        <v>385</v>
      </c>
      <c r="D391" s="16" t="s">
        <v>11</v>
      </c>
      <c r="E391" s="15" t="s">
        <v>381</v>
      </c>
      <c r="F391" s="15" t="s">
        <v>52</v>
      </c>
      <c r="G391" s="6">
        <v>100.2</v>
      </c>
      <c r="H391" s="6">
        <v>100.4</v>
      </c>
      <c r="I391" s="6">
        <v>98.6</v>
      </c>
      <c r="M391" s="6">
        <f t="shared" si="31"/>
        <v>299.20000000000005</v>
      </c>
      <c r="N391" s="15">
        <f t="shared" si="44"/>
        <v>299.20000000000005</v>
      </c>
    </row>
    <row r="392" spans="1:14">
      <c r="A392" s="15" t="s">
        <v>152</v>
      </c>
      <c r="B392" s="16" t="s">
        <v>17</v>
      </c>
      <c r="C392" s="15" t="s">
        <v>49</v>
      </c>
      <c r="D392" s="16" t="s">
        <v>11</v>
      </c>
      <c r="E392" s="15" t="s">
        <v>381</v>
      </c>
      <c r="F392" s="15" t="s">
        <v>52</v>
      </c>
      <c r="G392" s="6">
        <v>98.8</v>
      </c>
      <c r="H392" s="6">
        <v>94.1</v>
      </c>
      <c r="I392" s="6">
        <v>92.4</v>
      </c>
      <c r="M392" s="6">
        <f t="shared" si="31"/>
        <v>285.29999999999995</v>
      </c>
      <c r="N392" s="15">
        <f t="shared" si="44"/>
        <v>285.29999999999995</v>
      </c>
    </row>
    <row r="393" spans="1:14">
      <c r="A393" s="15" t="s">
        <v>207</v>
      </c>
      <c r="B393" s="16" t="s">
        <v>17</v>
      </c>
      <c r="C393" s="15" t="s">
        <v>382</v>
      </c>
      <c r="D393" s="16" t="s">
        <v>11</v>
      </c>
      <c r="E393" s="15" t="s">
        <v>381</v>
      </c>
      <c r="F393" s="15" t="s">
        <v>52</v>
      </c>
      <c r="G393" s="6">
        <v>102.8</v>
      </c>
      <c r="H393" s="6">
        <v>102.1</v>
      </c>
      <c r="I393" s="6">
        <v>102.7</v>
      </c>
      <c r="M393" s="6">
        <f t="shared" si="31"/>
        <v>307.59999999999997</v>
      </c>
      <c r="N393" s="15">
        <f t="shared" si="44"/>
        <v>307.59999999999997</v>
      </c>
    </row>
    <row r="394" spans="1:14">
      <c r="A394" s="15" t="s">
        <v>344</v>
      </c>
      <c r="B394" s="16" t="s">
        <v>17</v>
      </c>
      <c r="C394" s="15" t="s">
        <v>386</v>
      </c>
      <c r="D394" s="16" t="s">
        <v>11</v>
      </c>
      <c r="E394" s="15" t="s">
        <v>381</v>
      </c>
      <c r="F394" s="15" t="s">
        <v>52</v>
      </c>
      <c r="G394" s="6">
        <v>103.8</v>
      </c>
      <c r="H394" s="6">
        <v>101</v>
      </c>
      <c r="I394" s="6">
        <v>102.8</v>
      </c>
      <c r="M394" s="6">
        <f t="shared" si="31"/>
        <v>307.60000000000002</v>
      </c>
      <c r="N394" s="15">
        <f t="shared" si="44"/>
        <v>307.60000000000002</v>
      </c>
    </row>
    <row r="395" spans="1:14">
      <c r="A395" s="15" t="s">
        <v>88</v>
      </c>
      <c r="B395" s="16" t="s">
        <v>26</v>
      </c>
      <c r="C395" s="15" t="s">
        <v>49</v>
      </c>
      <c r="D395" s="16" t="s">
        <v>11</v>
      </c>
      <c r="E395" s="15" t="s">
        <v>381</v>
      </c>
      <c r="F395" s="15" t="s">
        <v>52</v>
      </c>
      <c r="G395" s="6">
        <v>101.6</v>
      </c>
      <c r="H395" s="6">
        <v>101.6</v>
      </c>
      <c r="I395" s="6">
        <v>101.6</v>
      </c>
      <c r="M395" s="6">
        <f t="shared" si="31"/>
        <v>304.79999999999995</v>
      </c>
      <c r="N395" s="15">
        <f t="shared" si="44"/>
        <v>304.79999999999995</v>
      </c>
    </row>
    <row r="396" spans="1:14">
      <c r="A396" s="15" t="s">
        <v>252</v>
      </c>
      <c r="B396" s="16" t="s">
        <v>26</v>
      </c>
      <c r="C396" s="15" t="s">
        <v>382</v>
      </c>
      <c r="D396" s="16" t="s">
        <v>11</v>
      </c>
      <c r="E396" s="15" t="s">
        <v>381</v>
      </c>
      <c r="F396" s="15" t="s">
        <v>52</v>
      </c>
      <c r="G396" s="6">
        <v>95.7</v>
      </c>
      <c r="H396" s="6">
        <v>97.6</v>
      </c>
      <c r="I396" s="6">
        <v>93.2</v>
      </c>
      <c r="M396" s="6">
        <f t="shared" si="31"/>
        <v>286.5</v>
      </c>
      <c r="N396" s="15">
        <f t="shared" si="44"/>
        <v>286.5</v>
      </c>
    </row>
    <row r="397" spans="1:14">
      <c r="A397" s="15" t="s">
        <v>251</v>
      </c>
      <c r="B397" s="16" t="s">
        <v>26</v>
      </c>
      <c r="C397" s="15" t="s">
        <v>382</v>
      </c>
      <c r="D397" s="16" t="s">
        <v>11</v>
      </c>
      <c r="E397" s="15" t="s">
        <v>51</v>
      </c>
      <c r="F397" s="15" t="s">
        <v>52</v>
      </c>
      <c r="G397" s="6">
        <v>98.9</v>
      </c>
      <c r="H397" s="6">
        <v>96.3</v>
      </c>
      <c r="I397" s="6">
        <v>97.6</v>
      </c>
      <c r="M397" s="6">
        <f t="shared" si="31"/>
        <v>292.79999999999995</v>
      </c>
      <c r="N397" s="15"/>
    </row>
    <row r="398" spans="1:14">
      <c r="A398" s="15" t="s">
        <v>247</v>
      </c>
      <c r="B398" s="16" t="s">
        <v>15</v>
      </c>
      <c r="C398" s="15" t="s">
        <v>382</v>
      </c>
      <c r="D398" s="16" t="s">
        <v>11</v>
      </c>
      <c r="E398" s="15" t="s">
        <v>381</v>
      </c>
      <c r="F398" s="15" t="s">
        <v>52</v>
      </c>
      <c r="G398" s="6">
        <v>102.6</v>
      </c>
      <c r="H398" s="6">
        <v>104.5</v>
      </c>
      <c r="I398" s="6">
        <v>101.3</v>
      </c>
      <c r="M398" s="6">
        <f t="shared" si="31"/>
        <v>308.39999999999998</v>
      </c>
      <c r="N398" s="15">
        <f t="shared" ref="N398:N403" si="45">M398</f>
        <v>308.39999999999998</v>
      </c>
    </row>
    <row r="399" spans="1:14">
      <c r="A399" s="15" t="s">
        <v>143</v>
      </c>
      <c r="B399" s="16" t="s">
        <v>15</v>
      </c>
      <c r="C399" s="15" t="s">
        <v>49</v>
      </c>
      <c r="D399" s="16" t="s">
        <v>11</v>
      </c>
      <c r="E399" s="15" t="s">
        <v>381</v>
      </c>
      <c r="F399" s="15" t="s">
        <v>52</v>
      </c>
      <c r="G399" s="6">
        <v>103.6</v>
      </c>
      <c r="H399" s="6">
        <v>105.7</v>
      </c>
      <c r="I399" s="6">
        <v>100.7</v>
      </c>
      <c r="M399" s="6">
        <f t="shared" si="31"/>
        <v>310</v>
      </c>
      <c r="N399" s="15">
        <f t="shared" si="45"/>
        <v>310</v>
      </c>
    </row>
    <row r="400" spans="1:14">
      <c r="A400" s="15" t="s">
        <v>300</v>
      </c>
      <c r="B400" s="16" t="s">
        <v>15</v>
      </c>
      <c r="C400" s="15" t="s">
        <v>384</v>
      </c>
      <c r="D400" s="16" t="s">
        <v>11</v>
      </c>
      <c r="E400" s="15" t="s">
        <v>381</v>
      </c>
      <c r="F400" s="15" t="s">
        <v>52</v>
      </c>
      <c r="G400" s="6">
        <v>93.6</v>
      </c>
      <c r="H400" s="6">
        <v>87.6</v>
      </c>
      <c r="I400" s="6">
        <v>93</v>
      </c>
      <c r="M400" s="6">
        <f t="shared" si="31"/>
        <v>274.2</v>
      </c>
      <c r="N400" s="15">
        <f t="shared" si="45"/>
        <v>274.2</v>
      </c>
    </row>
    <row r="401" spans="1:14">
      <c r="A401" s="15" t="s">
        <v>356</v>
      </c>
      <c r="B401" s="16" t="s">
        <v>15</v>
      </c>
      <c r="C401" s="15" t="s">
        <v>387</v>
      </c>
      <c r="D401" s="16" t="s">
        <v>11</v>
      </c>
      <c r="E401" s="15" t="s">
        <v>381</v>
      </c>
      <c r="F401" s="15" t="s">
        <v>52</v>
      </c>
      <c r="G401" s="6">
        <v>99.8</v>
      </c>
      <c r="H401" s="6">
        <v>101.8</v>
      </c>
      <c r="I401" s="6">
        <v>102</v>
      </c>
      <c r="M401" s="6">
        <f t="shared" si="31"/>
        <v>303.60000000000002</v>
      </c>
      <c r="N401" s="15">
        <f t="shared" si="45"/>
        <v>303.60000000000002</v>
      </c>
    </row>
    <row r="402" spans="1:14">
      <c r="A402" s="15" t="s">
        <v>346</v>
      </c>
      <c r="B402" s="16" t="s">
        <v>15</v>
      </c>
      <c r="C402" s="15" t="s">
        <v>386</v>
      </c>
      <c r="D402" s="16" t="s">
        <v>11</v>
      </c>
      <c r="E402" s="15" t="s">
        <v>381</v>
      </c>
      <c r="F402" s="15" t="s">
        <v>52</v>
      </c>
      <c r="G402" s="6">
        <v>99.6</v>
      </c>
      <c r="H402" s="6">
        <v>98</v>
      </c>
      <c r="I402" s="6">
        <v>97.6</v>
      </c>
      <c r="M402" s="6">
        <f t="shared" si="31"/>
        <v>295.2</v>
      </c>
      <c r="N402" s="15">
        <f t="shared" si="45"/>
        <v>295.2</v>
      </c>
    </row>
    <row r="403" spans="1:14">
      <c r="A403" s="15" t="s">
        <v>327</v>
      </c>
      <c r="B403" s="16" t="s">
        <v>15</v>
      </c>
      <c r="C403" s="15" t="s">
        <v>385</v>
      </c>
      <c r="D403" s="16" t="s">
        <v>11</v>
      </c>
      <c r="E403" s="15" t="s">
        <v>381</v>
      </c>
      <c r="F403" s="15" t="s">
        <v>52</v>
      </c>
      <c r="G403" s="6">
        <v>96.4</v>
      </c>
      <c r="H403" s="6">
        <v>98.3</v>
      </c>
      <c r="I403" s="6">
        <v>95.6</v>
      </c>
      <c r="M403" s="6">
        <f t="shared" si="31"/>
        <v>290.29999999999995</v>
      </c>
      <c r="N403" s="15">
        <f t="shared" si="45"/>
        <v>290.29999999999995</v>
      </c>
    </row>
    <row r="404" spans="1:14">
      <c r="A404" s="15" t="s">
        <v>205</v>
      </c>
      <c r="B404" s="16" t="s">
        <v>15</v>
      </c>
      <c r="C404" s="15" t="s">
        <v>382</v>
      </c>
      <c r="D404" s="16" t="s">
        <v>11</v>
      </c>
      <c r="E404" s="15" t="s">
        <v>51</v>
      </c>
      <c r="F404" s="15" t="s">
        <v>52</v>
      </c>
      <c r="G404" s="6">
        <v>104.1</v>
      </c>
      <c r="H404" s="6">
        <v>102.9</v>
      </c>
      <c r="I404" s="6">
        <v>100.9</v>
      </c>
      <c r="M404" s="6">
        <f t="shared" si="31"/>
        <v>307.89999999999998</v>
      </c>
      <c r="N404" s="15"/>
    </row>
    <row r="405" spans="1:14">
      <c r="A405" s="15" t="s">
        <v>79</v>
      </c>
      <c r="B405" s="16" t="s">
        <v>17</v>
      </c>
      <c r="C405" s="15" t="s">
        <v>49</v>
      </c>
      <c r="D405" s="15" t="s">
        <v>11</v>
      </c>
      <c r="E405" s="15" t="s">
        <v>51</v>
      </c>
      <c r="F405" s="15" t="s">
        <v>52</v>
      </c>
      <c r="G405" s="6">
        <v>83.2</v>
      </c>
      <c r="H405" s="6">
        <v>95.7</v>
      </c>
      <c r="I405" s="6">
        <v>101.2</v>
      </c>
      <c r="M405" s="6">
        <f t="shared" si="31"/>
        <v>280.10000000000002</v>
      </c>
      <c r="N405" s="15"/>
    </row>
    <row r="406" spans="1:14">
      <c r="A406" s="15" t="s">
        <v>94</v>
      </c>
      <c r="B406" s="16" t="s">
        <v>27</v>
      </c>
      <c r="C406" s="15" t="s">
        <v>49</v>
      </c>
      <c r="D406" s="15" t="s">
        <v>11</v>
      </c>
      <c r="E406" s="15" t="s">
        <v>51</v>
      </c>
      <c r="F406" s="15" t="s">
        <v>52</v>
      </c>
      <c r="G406" s="6">
        <v>98.1</v>
      </c>
      <c r="H406" s="6">
        <v>98.9</v>
      </c>
      <c r="I406" s="6">
        <v>97.9</v>
      </c>
      <c r="M406" s="6">
        <f t="shared" si="31"/>
        <v>294.89999999999998</v>
      </c>
      <c r="N406" s="15"/>
    </row>
    <row r="407" spans="1:14">
      <c r="A407" s="15" t="s">
        <v>294</v>
      </c>
      <c r="B407" s="16" t="s">
        <v>24</v>
      </c>
      <c r="C407" s="15" t="s">
        <v>384</v>
      </c>
      <c r="D407" s="15" t="s">
        <v>11</v>
      </c>
      <c r="E407" s="15" t="s">
        <v>381</v>
      </c>
      <c r="F407" s="15" t="s">
        <v>383</v>
      </c>
      <c r="G407" s="6">
        <v>95.9</v>
      </c>
      <c r="H407" s="6">
        <v>100.9</v>
      </c>
      <c r="I407" s="6">
        <v>97</v>
      </c>
      <c r="M407" s="6">
        <f t="shared" si="31"/>
        <v>293.8</v>
      </c>
      <c r="N407" s="15">
        <f>M407</f>
        <v>293.8</v>
      </c>
    </row>
    <row r="408" spans="1:14">
      <c r="A408" s="15" t="s">
        <v>254</v>
      </c>
      <c r="B408" s="16" t="s">
        <v>24</v>
      </c>
      <c r="C408" s="15" t="s">
        <v>382</v>
      </c>
      <c r="D408" s="15" t="s">
        <v>11</v>
      </c>
      <c r="E408" s="15" t="s">
        <v>51</v>
      </c>
      <c r="F408" s="15" t="s">
        <v>383</v>
      </c>
      <c r="G408" s="6">
        <v>93.5</v>
      </c>
      <c r="H408" s="6">
        <v>93</v>
      </c>
      <c r="I408" s="6">
        <v>98.2</v>
      </c>
      <c r="M408" s="6">
        <f t="shared" si="31"/>
        <v>284.7</v>
      </c>
      <c r="N408" s="15"/>
    </row>
    <row r="409" spans="1:14">
      <c r="A409" s="15" t="s">
        <v>250</v>
      </c>
      <c r="B409" s="16" t="s">
        <v>24</v>
      </c>
      <c r="C409" s="15" t="s">
        <v>382</v>
      </c>
      <c r="D409" s="15" t="s">
        <v>11</v>
      </c>
      <c r="E409" s="15" t="s">
        <v>381</v>
      </c>
      <c r="F409" s="15" t="s">
        <v>383</v>
      </c>
      <c r="G409" s="6">
        <v>101.1</v>
      </c>
      <c r="H409" s="6">
        <v>98</v>
      </c>
      <c r="I409" s="6">
        <v>94.2</v>
      </c>
      <c r="M409" s="6">
        <f t="shared" si="31"/>
        <v>293.3</v>
      </c>
      <c r="N409" s="15">
        <f t="shared" ref="N409:N413" si="46">M409</f>
        <v>293.3</v>
      </c>
    </row>
    <row r="410" spans="1:14">
      <c r="A410" s="15" t="s">
        <v>312</v>
      </c>
      <c r="B410" s="15" t="s">
        <v>24</v>
      </c>
      <c r="C410" s="15" t="s">
        <v>385</v>
      </c>
      <c r="D410" s="15" t="s">
        <v>11</v>
      </c>
      <c r="E410" s="15" t="s">
        <v>381</v>
      </c>
      <c r="F410" s="15" t="s">
        <v>383</v>
      </c>
      <c r="G410" s="6">
        <v>103.5</v>
      </c>
      <c r="H410" s="6">
        <v>99.2</v>
      </c>
      <c r="I410" s="6">
        <v>95.4</v>
      </c>
      <c r="M410" s="6">
        <f t="shared" si="31"/>
        <v>298.10000000000002</v>
      </c>
      <c r="N410" s="15">
        <f t="shared" si="46"/>
        <v>298.10000000000002</v>
      </c>
    </row>
    <row r="411" spans="1:14">
      <c r="A411" s="15" t="s">
        <v>164</v>
      </c>
      <c r="B411" s="15" t="s">
        <v>18</v>
      </c>
      <c r="C411" s="15" t="s">
        <v>49</v>
      </c>
      <c r="D411" s="15" t="s">
        <v>11</v>
      </c>
      <c r="E411" s="15" t="s">
        <v>381</v>
      </c>
      <c r="F411" s="15" t="s">
        <v>383</v>
      </c>
      <c r="G411" s="6">
        <v>90.8</v>
      </c>
      <c r="H411" s="6">
        <v>87.5</v>
      </c>
      <c r="I411" s="6">
        <v>83.1</v>
      </c>
      <c r="M411" s="6">
        <f t="shared" si="31"/>
        <v>261.39999999999998</v>
      </c>
      <c r="N411" s="15">
        <f t="shared" si="46"/>
        <v>261.39999999999998</v>
      </c>
    </row>
    <row r="412" spans="1:14">
      <c r="A412" s="15" t="s">
        <v>255</v>
      </c>
      <c r="B412" s="15" t="s">
        <v>18</v>
      </c>
      <c r="C412" s="15" t="s">
        <v>382</v>
      </c>
      <c r="D412" s="15" t="s">
        <v>11</v>
      </c>
      <c r="E412" s="15" t="s">
        <v>381</v>
      </c>
      <c r="F412" s="15" t="s">
        <v>383</v>
      </c>
      <c r="G412" s="6">
        <v>94.2</v>
      </c>
      <c r="H412" s="6">
        <v>93.5</v>
      </c>
      <c r="I412" s="6">
        <v>96.9</v>
      </c>
      <c r="M412" s="6">
        <f t="shared" si="31"/>
        <v>284.60000000000002</v>
      </c>
      <c r="N412" s="15">
        <f t="shared" si="46"/>
        <v>284.60000000000002</v>
      </c>
    </row>
    <row r="413" spans="1:14">
      <c r="A413" s="15" t="s">
        <v>339</v>
      </c>
      <c r="B413" s="15" t="s">
        <v>18</v>
      </c>
      <c r="C413" s="15" t="s">
        <v>385</v>
      </c>
      <c r="D413" s="15" t="s">
        <v>11</v>
      </c>
      <c r="E413" s="15" t="s">
        <v>381</v>
      </c>
      <c r="F413" s="15" t="s">
        <v>383</v>
      </c>
      <c r="G413" s="6">
        <v>83.7</v>
      </c>
      <c r="H413" s="6">
        <v>73.900000000000006</v>
      </c>
      <c r="I413" s="6">
        <v>69.5</v>
      </c>
      <c r="M413" s="6">
        <f t="shared" si="31"/>
        <v>227.10000000000002</v>
      </c>
      <c r="N413" s="15">
        <f t="shared" si="46"/>
        <v>227.10000000000002</v>
      </c>
    </row>
    <row r="414" spans="1:14">
      <c r="A414" s="15" t="s">
        <v>326</v>
      </c>
      <c r="B414" s="15" t="s">
        <v>18</v>
      </c>
      <c r="C414" s="15" t="s">
        <v>385</v>
      </c>
      <c r="D414" s="15" t="s">
        <v>11</v>
      </c>
      <c r="E414" s="15" t="s">
        <v>51</v>
      </c>
      <c r="F414" s="15" t="s">
        <v>383</v>
      </c>
      <c r="G414" s="6">
        <v>97.6</v>
      </c>
      <c r="H414" s="6">
        <v>95</v>
      </c>
      <c r="I414" s="6">
        <v>98.2</v>
      </c>
      <c r="M414" s="6">
        <f t="shared" si="31"/>
        <v>290.8</v>
      </c>
      <c r="N414" s="15"/>
    </row>
    <row r="415" spans="1:14">
      <c r="A415" s="15" t="s">
        <v>298</v>
      </c>
      <c r="B415" s="15" t="s">
        <v>18</v>
      </c>
      <c r="C415" s="15" t="s">
        <v>384</v>
      </c>
      <c r="D415" s="15" t="s">
        <v>11</v>
      </c>
      <c r="E415" s="15" t="s">
        <v>381</v>
      </c>
      <c r="F415" s="15" t="s">
        <v>383</v>
      </c>
      <c r="G415" s="6">
        <v>96.8</v>
      </c>
      <c r="H415" s="6">
        <v>90.5</v>
      </c>
      <c r="I415" s="6">
        <v>95.4</v>
      </c>
      <c r="M415" s="6">
        <f t="shared" si="31"/>
        <v>282.70000000000005</v>
      </c>
      <c r="N415" s="15">
        <f t="shared" ref="N415:N438" si="47">M415</f>
        <v>282.70000000000005</v>
      </c>
    </row>
    <row r="416" spans="1:14">
      <c r="A416" s="15" t="s">
        <v>348</v>
      </c>
      <c r="B416" s="15" t="s">
        <v>18</v>
      </c>
      <c r="C416" s="15" t="s">
        <v>386</v>
      </c>
      <c r="D416" s="15" t="s">
        <v>11</v>
      </c>
      <c r="E416" s="15" t="s">
        <v>381</v>
      </c>
      <c r="F416" s="15" t="s">
        <v>383</v>
      </c>
      <c r="G416" s="6">
        <v>94.7</v>
      </c>
      <c r="H416" s="6">
        <v>95.7</v>
      </c>
      <c r="I416" s="6">
        <v>100.8</v>
      </c>
      <c r="M416" s="6">
        <f t="shared" si="31"/>
        <v>291.2</v>
      </c>
      <c r="N416" s="15">
        <f t="shared" si="47"/>
        <v>291.2</v>
      </c>
    </row>
    <row r="417" spans="1:14">
      <c r="A417" s="15" t="s">
        <v>362</v>
      </c>
      <c r="B417" s="15" t="s">
        <v>18</v>
      </c>
      <c r="C417" s="15" t="s">
        <v>387</v>
      </c>
      <c r="D417" s="15" t="s">
        <v>11</v>
      </c>
      <c r="E417" s="15" t="s">
        <v>381</v>
      </c>
      <c r="F417" s="15" t="s">
        <v>383</v>
      </c>
      <c r="G417" s="6">
        <v>95.2</v>
      </c>
      <c r="H417" s="6">
        <v>91</v>
      </c>
      <c r="I417" s="6">
        <v>92.6</v>
      </c>
      <c r="M417" s="6">
        <f t="shared" si="31"/>
        <v>278.79999999999995</v>
      </c>
      <c r="N417" s="15">
        <f t="shared" si="47"/>
        <v>278.79999999999995</v>
      </c>
    </row>
    <row r="418" spans="1:14">
      <c r="A418" s="15" t="s">
        <v>146</v>
      </c>
      <c r="B418" s="16" t="s">
        <v>23</v>
      </c>
      <c r="C418" s="15" t="s">
        <v>49</v>
      </c>
      <c r="D418" s="15" t="s">
        <v>11</v>
      </c>
      <c r="E418" s="15" t="s">
        <v>381</v>
      </c>
      <c r="F418" s="15" t="s">
        <v>383</v>
      </c>
      <c r="G418" s="6">
        <v>99.8</v>
      </c>
      <c r="H418" s="6">
        <v>102.8</v>
      </c>
      <c r="I418" s="6">
        <v>101.6</v>
      </c>
      <c r="M418" s="6">
        <f t="shared" si="31"/>
        <v>304.2</v>
      </c>
      <c r="N418" s="15">
        <f t="shared" si="47"/>
        <v>304.2</v>
      </c>
    </row>
    <row r="419" spans="1:14">
      <c r="A419" s="15" t="s">
        <v>238</v>
      </c>
      <c r="B419" s="16" t="s">
        <v>23</v>
      </c>
      <c r="C419" s="15" t="s">
        <v>382</v>
      </c>
      <c r="D419" s="15" t="s">
        <v>11</v>
      </c>
      <c r="E419" s="15" t="s">
        <v>381</v>
      </c>
      <c r="F419" s="15" t="s">
        <v>383</v>
      </c>
      <c r="G419" s="6">
        <v>86.1</v>
      </c>
      <c r="H419" s="6">
        <v>97.6</v>
      </c>
      <c r="I419" s="6">
        <v>93.2</v>
      </c>
      <c r="M419" s="6">
        <f t="shared" si="31"/>
        <v>276.89999999999998</v>
      </c>
      <c r="N419" s="15">
        <f t="shared" si="47"/>
        <v>276.89999999999998</v>
      </c>
    </row>
    <row r="420" spans="1:14">
      <c r="A420" s="15" t="s">
        <v>303</v>
      </c>
      <c r="B420" s="16" t="s">
        <v>23</v>
      </c>
      <c r="C420" s="15" t="s">
        <v>384</v>
      </c>
      <c r="D420" s="15" t="s">
        <v>11</v>
      </c>
      <c r="E420" s="15" t="s">
        <v>381</v>
      </c>
      <c r="F420" s="15" t="s">
        <v>383</v>
      </c>
      <c r="G420" s="6">
        <v>86.3</v>
      </c>
      <c r="H420" s="6">
        <v>85.1</v>
      </c>
      <c r="I420" s="6">
        <v>88.5</v>
      </c>
      <c r="M420" s="6">
        <f t="shared" si="31"/>
        <v>259.89999999999998</v>
      </c>
      <c r="N420" s="15">
        <f t="shared" si="47"/>
        <v>259.89999999999998</v>
      </c>
    </row>
    <row r="421" spans="1:14">
      <c r="A421" s="15" t="s">
        <v>328</v>
      </c>
      <c r="B421" s="15" t="s">
        <v>23</v>
      </c>
      <c r="C421" s="15" t="s">
        <v>385</v>
      </c>
      <c r="D421" s="15" t="s">
        <v>11</v>
      </c>
      <c r="E421" s="15" t="s">
        <v>381</v>
      </c>
      <c r="F421" s="15" t="s">
        <v>383</v>
      </c>
      <c r="G421" s="6">
        <v>96.7</v>
      </c>
      <c r="H421" s="6">
        <v>93.2</v>
      </c>
      <c r="I421" s="6">
        <v>96.4</v>
      </c>
      <c r="M421" s="6">
        <f t="shared" si="31"/>
        <v>286.3</v>
      </c>
      <c r="N421" s="15">
        <f t="shared" si="47"/>
        <v>286.3</v>
      </c>
    </row>
    <row r="422" spans="1:14">
      <c r="A422" s="15" t="s">
        <v>366</v>
      </c>
      <c r="B422" s="15" t="s">
        <v>23</v>
      </c>
      <c r="C422" s="15" t="s">
        <v>387</v>
      </c>
      <c r="D422" s="15" t="s">
        <v>11</v>
      </c>
      <c r="E422" s="15" t="s">
        <v>381</v>
      </c>
      <c r="F422" s="15" t="s">
        <v>383</v>
      </c>
      <c r="G422" s="6">
        <v>86.4</v>
      </c>
      <c r="H422" s="6">
        <v>89.3</v>
      </c>
      <c r="I422" s="6">
        <v>83.3</v>
      </c>
      <c r="M422" s="6">
        <f t="shared" si="31"/>
        <v>259</v>
      </c>
      <c r="N422" s="15">
        <f t="shared" si="47"/>
        <v>259</v>
      </c>
    </row>
    <row r="423" spans="1:14">
      <c r="A423" s="15" t="s">
        <v>313</v>
      </c>
      <c r="B423" s="16" t="s">
        <v>20</v>
      </c>
      <c r="C423" s="15" t="s">
        <v>385</v>
      </c>
      <c r="D423" s="15" t="s">
        <v>11</v>
      </c>
      <c r="E423" s="15" t="s">
        <v>381</v>
      </c>
      <c r="F423" s="15" t="s">
        <v>383</v>
      </c>
      <c r="G423" s="6">
        <v>97.7</v>
      </c>
      <c r="H423" s="6">
        <v>97.7</v>
      </c>
      <c r="I423" s="6">
        <v>97.3</v>
      </c>
      <c r="M423" s="6">
        <f t="shared" si="31"/>
        <v>292.7</v>
      </c>
      <c r="N423" s="15">
        <f t="shared" si="47"/>
        <v>292.7</v>
      </c>
    </row>
    <row r="424" spans="1:14">
      <c r="A424" s="15" t="s">
        <v>249</v>
      </c>
      <c r="B424" s="16" t="s">
        <v>20</v>
      </c>
      <c r="C424" s="15" t="s">
        <v>382</v>
      </c>
      <c r="D424" s="15" t="s">
        <v>11</v>
      </c>
      <c r="E424" s="15" t="s">
        <v>381</v>
      </c>
      <c r="F424" s="15" t="s">
        <v>383</v>
      </c>
      <c r="G424" s="6">
        <v>100.2</v>
      </c>
      <c r="H424" s="6">
        <v>102.8</v>
      </c>
      <c r="I424" s="6">
        <v>98.4</v>
      </c>
      <c r="M424" s="6">
        <f t="shared" si="31"/>
        <v>301.39999999999998</v>
      </c>
      <c r="N424" s="15">
        <f t="shared" si="47"/>
        <v>301.39999999999998</v>
      </c>
    </row>
    <row r="425" spans="1:14">
      <c r="A425" s="15" t="s">
        <v>297</v>
      </c>
      <c r="B425" s="16" t="s">
        <v>20</v>
      </c>
      <c r="C425" s="15" t="s">
        <v>384</v>
      </c>
      <c r="D425" s="15" t="s">
        <v>11</v>
      </c>
      <c r="E425" s="15" t="s">
        <v>381</v>
      </c>
      <c r="F425" s="15" t="s">
        <v>383</v>
      </c>
      <c r="G425" s="6">
        <v>95.3</v>
      </c>
      <c r="H425" s="6">
        <v>95.4</v>
      </c>
      <c r="I425" s="6">
        <v>93.4</v>
      </c>
      <c r="M425" s="6">
        <f t="shared" si="31"/>
        <v>284.10000000000002</v>
      </c>
      <c r="N425" s="15">
        <f t="shared" si="47"/>
        <v>284.10000000000002</v>
      </c>
    </row>
    <row r="426" spans="1:14">
      <c r="A426" s="15" t="s">
        <v>351</v>
      </c>
      <c r="B426" s="16" t="s">
        <v>20</v>
      </c>
      <c r="C426" s="15" t="s">
        <v>386</v>
      </c>
      <c r="D426" s="15" t="s">
        <v>11</v>
      </c>
      <c r="E426" s="15" t="s">
        <v>381</v>
      </c>
      <c r="F426" s="15" t="s">
        <v>383</v>
      </c>
      <c r="G426" s="6">
        <v>89.8</v>
      </c>
      <c r="H426" s="6">
        <v>95.8</v>
      </c>
      <c r="I426" s="6">
        <v>93.5</v>
      </c>
      <c r="M426" s="6">
        <f t="shared" si="31"/>
        <v>279.10000000000002</v>
      </c>
      <c r="N426" s="15">
        <f t="shared" si="47"/>
        <v>279.10000000000002</v>
      </c>
    </row>
    <row r="427" spans="1:14">
      <c r="A427" s="15" t="s">
        <v>364</v>
      </c>
      <c r="B427" s="15" t="s">
        <v>20</v>
      </c>
      <c r="C427" s="15" t="s">
        <v>387</v>
      </c>
      <c r="D427" s="15" t="s">
        <v>11</v>
      </c>
      <c r="E427" s="15" t="s">
        <v>381</v>
      </c>
      <c r="F427" s="15" t="s">
        <v>383</v>
      </c>
      <c r="G427" s="6">
        <v>88.3</v>
      </c>
      <c r="H427" s="6">
        <v>94.8</v>
      </c>
      <c r="I427" s="6">
        <v>93.2</v>
      </c>
      <c r="M427" s="6">
        <f t="shared" si="31"/>
        <v>276.3</v>
      </c>
      <c r="N427" s="15">
        <f t="shared" si="47"/>
        <v>276.3</v>
      </c>
    </row>
    <row r="428" spans="1:14">
      <c r="A428" s="15" t="s">
        <v>73</v>
      </c>
      <c r="B428" s="15" t="s">
        <v>20</v>
      </c>
      <c r="C428" s="15" t="s">
        <v>49</v>
      </c>
      <c r="D428" s="15" t="s">
        <v>11</v>
      </c>
      <c r="E428" s="15" t="s">
        <v>381</v>
      </c>
      <c r="F428" s="15" t="s">
        <v>383</v>
      </c>
      <c r="G428" s="6">
        <v>96.4</v>
      </c>
      <c r="H428" s="6">
        <v>97.7</v>
      </c>
      <c r="I428" s="6">
        <v>99.3</v>
      </c>
      <c r="M428" s="6">
        <f t="shared" si="31"/>
        <v>293.40000000000003</v>
      </c>
      <c r="N428" s="15">
        <f t="shared" si="47"/>
        <v>293.40000000000003</v>
      </c>
    </row>
    <row r="429" spans="1:14">
      <c r="A429" s="15" t="s">
        <v>211</v>
      </c>
      <c r="B429" s="15" t="s">
        <v>19</v>
      </c>
      <c r="C429" s="15" t="s">
        <v>382</v>
      </c>
      <c r="D429" s="15" t="s">
        <v>11</v>
      </c>
      <c r="E429" s="15" t="s">
        <v>381</v>
      </c>
      <c r="F429" s="15" t="s">
        <v>383</v>
      </c>
      <c r="G429" s="6">
        <v>98.6</v>
      </c>
      <c r="H429" s="6">
        <v>99.2</v>
      </c>
      <c r="I429" s="6">
        <v>99.4</v>
      </c>
      <c r="M429" s="6">
        <f t="shared" si="31"/>
        <v>297.20000000000005</v>
      </c>
      <c r="N429" s="15">
        <f t="shared" si="47"/>
        <v>297.20000000000005</v>
      </c>
    </row>
    <row r="430" spans="1:14">
      <c r="A430" s="15" t="s">
        <v>284</v>
      </c>
      <c r="B430" s="15" t="s">
        <v>19</v>
      </c>
      <c r="C430" s="15" t="s">
        <v>384</v>
      </c>
      <c r="D430" s="15" t="s">
        <v>11</v>
      </c>
      <c r="E430" s="15" t="s">
        <v>381</v>
      </c>
      <c r="F430" s="15" t="s">
        <v>383</v>
      </c>
      <c r="G430" s="6">
        <v>94.1</v>
      </c>
      <c r="H430" s="6">
        <v>94.2</v>
      </c>
      <c r="I430" s="6">
        <v>87.5</v>
      </c>
      <c r="M430" s="6">
        <f t="shared" si="31"/>
        <v>275.8</v>
      </c>
      <c r="N430" s="15">
        <f t="shared" si="47"/>
        <v>275.8</v>
      </c>
    </row>
    <row r="431" spans="1:14">
      <c r="A431" s="15" t="s">
        <v>318</v>
      </c>
      <c r="B431" s="15" t="s">
        <v>19</v>
      </c>
      <c r="C431" s="15" t="s">
        <v>385</v>
      </c>
      <c r="D431" s="15" t="s">
        <v>11</v>
      </c>
      <c r="E431" s="15" t="s">
        <v>381</v>
      </c>
      <c r="F431" s="15" t="s">
        <v>383</v>
      </c>
      <c r="G431" s="6">
        <v>70.099999999999994</v>
      </c>
      <c r="H431" s="6">
        <v>40.6</v>
      </c>
      <c r="I431" s="6">
        <v>42.3</v>
      </c>
      <c r="M431" s="6">
        <f t="shared" si="31"/>
        <v>153</v>
      </c>
      <c r="N431" s="15">
        <f t="shared" si="47"/>
        <v>153</v>
      </c>
    </row>
    <row r="432" spans="1:14">
      <c r="A432" s="15" t="s">
        <v>347</v>
      </c>
      <c r="B432" s="15" t="s">
        <v>19</v>
      </c>
      <c r="C432" s="15" t="s">
        <v>386</v>
      </c>
      <c r="D432" s="15" t="s">
        <v>11</v>
      </c>
      <c r="E432" s="15" t="s">
        <v>381</v>
      </c>
      <c r="F432" s="15" t="s">
        <v>383</v>
      </c>
      <c r="G432" s="6">
        <v>100.5</v>
      </c>
      <c r="H432" s="6">
        <v>93.9</v>
      </c>
      <c r="I432" s="6">
        <v>97.3</v>
      </c>
      <c r="M432" s="6">
        <f t="shared" si="31"/>
        <v>291.7</v>
      </c>
      <c r="N432" s="15">
        <f t="shared" si="47"/>
        <v>291.7</v>
      </c>
    </row>
    <row r="433" spans="1:14">
      <c r="A433" s="15" t="s">
        <v>363</v>
      </c>
      <c r="B433" s="15" t="s">
        <v>19</v>
      </c>
      <c r="C433" s="15" t="s">
        <v>387</v>
      </c>
      <c r="D433" s="15" t="s">
        <v>11</v>
      </c>
      <c r="E433" s="15" t="s">
        <v>381</v>
      </c>
      <c r="F433" s="15" t="s">
        <v>383</v>
      </c>
      <c r="G433" s="6">
        <v>90.9</v>
      </c>
      <c r="H433" s="6">
        <v>91</v>
      </c>
      <c r="I433" s="6">
        <v>95.1</v>
      </c>
      <c r="M433" s="6">
        <f t="shared" si="31"/>
        <v>277</v>
      </c>
      <c r="N433" s="15">
        <f t="shared" si="47"/>
        <v>277</v>
      </c>
    </row>
    <row r="434" spans="1:14">
      <c r="A434" s="15" t="s">
        <v>55</v>
      </c>
      <c r="B434" s="15" t="s">
        <v>19</v>
      </c>
      <c r="C434" s="15" t="s">
        <v>49</v>
      </c>
      <c r="D434" s="15" t="s">
        <v>11</v>
      </c>
      <c r="E434" s="15" t="s">
        <v>381</v>
      </c>
      <c r="F434" s="15" t="s">
        <v>383</v>
      </c>
      <c r="G434" s="6">
        <v>100.1</v>
      </c>
      <c r="H434" s="6">
        <v>102.3</v>
      </c>
      <c r="I434" s="6">
        <v>99.6</v>
      </c>
      <c r="M434" s="6">
        <f t="shared" si="31"/>
        <v>302</v>
      </c>
      <c r="N434" s="15">
        <f t="shared" si="47"/>
        <v>302</v>
      </c>
    </row>
    <row r="435" spans="1:14">
      <c r="A435" s="15" t="s">
        <v>352</v>
      </c>
      <c r="B435" s="16" t="s">
        <v>14</v>
      </c>
      <c r="C435" s="15" t="s">
        <v>386</v>
      </c>
      <c r="D435" s="15" t="s">
        <v>11</v>
      </c>
      <c r="E435" s="15" t="s">
        <v>381</v>
      </c>
      <c r="F435" s="15" t="s">
        <v>383</v>
      </c>
      <c r="G435" s="6">
        <v>86.9</v>
      </c>
      <c r="H435" s="6">
        <v>98.5</v>
      </c>
      <c r="I435" s="6">
        <v>93.5</v>
      </c>
      <c r="M435" s="6">
        <f t="shared" si="31"/>
        <v>278.89999999999998</v>
      </c>
      <c r="N435" s="15">
        <f t="shared" si="47"/>
        <v>278.89999999999998</v>
      </c>
    </row>
    <row r="436" spans="1:14">
      <c r="A436" s="15" t="s">
        <v>359</v>
      </c>
      <c r="B436" s="16" t="s">
        <v>14</v>
      </c>
      <c r="C436" s="15" t="s">
        <v>387</v>
      </c>
      <c r="D436" s="15" t="s">
        <v>11</v>
      </c>
      <c r="E436" s="15" t="s">
        <v>381</v>
      </c>
      <c r="F436" s="15" t="s">
        <v>383</v>
      </c>
      <c r="G436" s="6">
        <v>99.5</v>
      </c>
      <c r="H436" s="6">
        <v>97.7</v>
      </c>
      <c r="I436" s="6">
        <v>102.2</v>
      </c>
      <c r="M436" s="6">
        <f t="shared" si="31"/>
        <v>299.39999999999998</v>
      </c>
      <c r="N436" s="15">
        <f t="shared" si="47"/>
        <v>299.39999999999998</v>
      </c>
    </row>
    <row r="437" spans="1:14">
      <c r="A437" s="15" t="s">
        <v>306</v>
      </c>
      <c r="B437" s="15" t="s">
        <v>14</v>
      </c>
      <c r="C437" s="15" t="s">
        <v>384</v>
      </c>
      <c r="D437" s="15" t="s">
        <v>11</v>
      </c>
      <c r="E437" s="15" t="s">
        <v>381</v>
      </c>
      <c r="F437" s="15" t="s">
        <v>383</v>
      </c>
      <c r="G437" s="6">
        <v>75.8</v>
      </c>
      <c r="H437" s="6">
        <v>83.7</v>
      </c>
      <c r="I437" s="6">
        <v>74.099999999999994</v>
      </c>
      <c r="M437" s="6">
        <f t="shared" si="31"/>
        <v>233.6</v>
      </c>
      <c r="N437" s="15">
        <f t="shared" si="47"/>
        <v>233.6</v>
      </c>
    </row>
    <row r="438" spans="1:14">
      <c r="A438" s="15" t="s">
        <v>65</v>
      </c>
      <c r="B438" s="15" t="s">
        <v>14</v>
      </c>
      <c r="C438" s="15" t="s">
        <v>49</v>
      </c>
      <c r="D438" s="15" t="s">
        <v>11</v>
      </c>
      <c r="E438" s="15" t="s">
        <v>381</v>
      </c>
      <c r="F438" s="15" t="s">
        <v>383</v>
      </c>
      <c r="G438" s="6">
        <v>99.9</v>
      </c>
      <c r="H438" s="6">
        <v>102.6</v>
      </c>
      <c r="I438" s="6">
        <v>100.9</v>
      </c>
      <c r="M438" s="6">
        <f t="shared" si="31"/>
        <v>303.39999999999998</v>
      </c>
      <c r="N438" s="15">
        <f t="shared" si="47"/>
        <v>303.39999999999998</v>
      </c>
    </row>
    <row r="439" spans="1:14">
      <c r="A439" s="15" t="s">
        <v>361</v>
      </c>
      <c r="B439" s="15" t="s">
        <v>14</v>
      </c>
      <c r="C439" s="15" t="s">
        <v>387</v>
      </c>
      <c r="D439" s="15" t="s">
        <v>11</v>
      </c>
      <c r="E439" s="15" t="s">
        <v>51</v>
      </c>
      <c r="F439" s="15" t="s">
        <v>383</v>
      </c>
      <c r="G439" s="6">
        <v>91</v>
      </c>
      <c r="H439" s="6">
        <v>98.9</v>
      </c>
      <c r="I439" s="6">
        <v>89.2</v>
      </c>
      <c r="M439" s="6">
        <f t="shared" si="31"/>
        <v>279.10000000000002</v>
      </c>
      <c r="N439" s="15"/>
    </row>
    <row r="440" spans="1:14">
      <c r="A440" s="15" t="s">
        <v>64</v>
      </c>
      <c r="B440" s="15" t="s">
        <v>14</v>
      </c>
      <c r="C440" s="15" t="s">
        <v>49</v>
      </c>
      <c r="D440" s="15" t="s">
        <v>11</v>
      </c>
      <c r="E440" s="15" t="s">
        <v>51</v>
      </c>
      <c r="F440" s="15" t="s">
        <v>383</v>
      </c>
      <c r="G440" s="6">
        <v>100.1</v>
      </c>
      <c r="H440" s="6">
        <v>99.9</v>
      </c>
      <c r="I440" s="6">
        <v>104.2</v>
      </c>
      <c r="M440" s="6">
        <f t="shared" si="31"/>
        <v>304.2</v>
      </c>
      <c r="N440" s="15"/>
    </row>
    <row r="441" spans="1:14">
      <c r="A441" s="15" t="s">
        <v>206</v>
      </c>
      <c r="B441" s="15" t="s">
        <v>14</v>
      </c>
      <c r="C441" s="15" t="s">
        <v>382</v>
      </c>
      <c r="D441" s="15" t="s">
        <v>11</v>
      </c>
      <c r="E441" s="15" t="s">
        <v>381</v>
      </c>
      <c r="F441" s="15" t="s">
        <v>383</v>
      </c>
      <c r="G441" s="6">
        <v>102.5</v>
      </c>
      <c r="H441" s="6">
        <v>98.9</v>
      </c>
      <c r="I441" s="6">
        <v>103.3</v>
      </c>
      <c r="M441" s="6">
        <f t="shared" si="31"/>
        <v>304.7</v>
      </c>
      <c r="N441" s="15">
        <f t="shared" ref="N441:N446" si="48">M441</f>
        <v>304.7</v>
      </c>
    </row>
    <row r="442" spans="1:14">
      <c r="A442" s="15" t="s">
        <v>310</v>
      </c>
      <c r="B442" s="16" t="s">
        <v>14</v>
      </c>
      <c r="C442" s="15" t="s">
        <v>385</v>
      </c>
      <c r="D442" s="15" t="s">
        <v>11</v>
      </c>
      <c r="E442" s="15" t="s">
        <v>381</v>
      </c>
      <c r="F442" s="15" t="s">
        <v>383</v>
      </c>
      <c r="G442" s="6">
        <v>97.2</v>
      </c>
      <c r="H442" s="6">
        <v>103.2</v>
      </c>
      <c r="I442" s="6">
        <v>100.9</v>
      </c>
      <c r="M442" s="6">
        <f t="shared" si="31"/>
        <v>301.3</v>
      </c>
      <c r="N442" s="15">
        <f t="shared" si="48"/>
        <v>301.3</v>
      </c>
    </row>
    <row r="443" spans="1:14">
      <c r="A443" s="15" t="s">
        <v>325</v>
      </c>
      <c r="B443" s="16" t="s">
        <v>21</v>
      </c>
      <c r="C443" s="15" t="s">
        <v>385</v>
      </c>
      <c r="D443" s="15" t="s">
        <v>11</v>
      </c>
      <c r="E443" s="15" t="s">
        <v>381</v>
      </c>
      <c r="F443" s="15" t="s">
        <v>383</v>
      </c>
      <c r="G443" s="6">
        <v>98.4</v>
      </c>
      <c r="H443" s="6">
        <v>96</v>
      </c>
      <c r="I443" s="6">
        <v>102.6</v>
      </c>
      <c r="M443" s="6">
        <f t="shared" si="31"/>
        <v>297</v>
      </c>
      <c r="N443" s="15">
        <f t="shared" si="48"/>
        <v>297</v>
      </c>
    </row>
    <row r="444" spans="1:14">
      <c r="A444" s="15" t="s">
        <v>367</v>
      </c>
      <c r="B444" s="16" t="s">
        <v>21</v>
      </c>
      <c r="C444" s="15" t="s">
        <v>387</v>
      </c>
      <c r="D444" s="15" t="s">
        <v>11</v>
      </c>
      <c r="E444" s="15" t="s">
        <v>381</v>
      </c>
      <c r="F444" s="15" t="s">
        <v>383</v>
      </c>
      <c r="G444" s="6">
        <v>80.2</v>
      </c>
      <c r="H444" s="6">
        <v>81.099999999999994</v>
      </c>
      <c r="I444" s="6">
        <v>73.8</v>
      </c>
      <c r="M444" s="6">
        <f t="shared" si="31"/>
        <v>235.10000000000002</v>
      </c>
      <c r="N444" s="15">
        <f t="shared" si="48"/>
        <v>235.10000000000002</v>
      </c>
    </row>
    <row r="445" spans="1:14">
      <c r="A445" s="15" t="s">
        <v>70</v>
      </c>
      <c r="B445" s="16" t="s">
        <v>21</v>
      </c>
      <c r="C445" s="15" t="s">
        <v>49</v>
      </c>
      <c r="D445" s="15" t="s">
        <v>11</v>
      </c>
      <c r="E445" s="15" t="s">
        <v>381</v>
      </c>
      <c r="F445" s="15" t="s">
        <v>383</v>
      </c>
      <c r="G445" s="6">
        <v>91.2</v>
      </c>
      <c r="H445" s="6">
        <v>97.7</v>
      </c>
      <c r="I445" s="6">
        <v>101.4</v>
      </c>
      <c r="M445" s="6">
        <f t="shared" si="31"/>
        <v>290.3</v>
      </c>
      <c r="N445" s="15">
        <f t="shared" si="48"/>
        <v>290.3</v>
      </c>
    </row>
    <row r="446" spans="1:14">
      <c r="A446" s="15" t="s">
        <v>217</v>
      </c>
      <c r="B446" s="16" t="s">
        <v>21</v>
      </c>
      <c r="C446" s="15" t="s">
        <v>382</v>
      </c>
      <c r="D446" s="15" t="s">
        <v>11</v>
      </c>
      <c r="E446" s="15" t="s">
        <v>381</v>
      </c>
      <c r="F446" s="15" t="s">
        <v>383</v>
      </c>
      <c r="G446" s="6">
        <v>79.8</v>
      </c>
      <c r="H446" s="6">
        <v>76.099999999999994</v>
      </c>
      <c r="I446" s="6">
        <v>77.099999999999994</v>
      </c>
      <c r="M446" s="6">
        <f t="shared" si="31"/>
        <v>232.99999999999997</v>
      </c>
      <c r="N446" s="15">
        <f t="shared" si="48"/>
        <v>232.99999999999997</v>
      </c>
    </row>
    <row r="447" spans="1:14">
      <c r="A447" s="15" t="s">
        <v>314</v>
      </c>
      <c r="B447" s="16" t="s">
        <v>21</v>
      </c>
      <c r="C447" s="15" t="s">
        <v>385</v>
      </c>
      <c r="D447" s="15" t="s">
        <v>11</v>
      </c>
      <c r="E447" s="15" t="s">
        <v>51</v>
      </c>
      <c r="F447" s="15" t="s">
        <v>383</v>
      </c>
      <c r="G447" s="6">
        <v>99.7</v>
      </c>
      <c r="H447" s="6">
        <v>99.1</v>
      </c>
      <c r="I447" s="6">
        <v>100.9</v>
      </c>
      <c r="M447" s="6">
        <f t="shared" si="31"/>
        <v>299.70000000000005</v>
      </c>
      <c r="N447" s="15"/>
    </row>
    <row r="448" spans="1:14">
      <c r="A448" s="15" t="s">
        <v>353</v>
      </c>
      <c r="B448" s="16" t="s">
        <v>22</v>
      </c>
      <c r="C448" s="15" t="s">
        <v>386</v>
      </c>
      <c r="D448" s="15" t="s">
        <v>11</v>
      </c>
      <c r="E448" s="15" t="s">
        <v>381</v>
      </c>
      <c r="F448" s="15" t="s">
        <v>383</v>
      </c>
      <c r="G448" s="6">
        <v>93.1</v>
      </c>
      <c r="H448" s="6">
        <v>84.6</v>
      </c>
      <c r="I448" s="6">
        <v>79.7</v>
      </c>
      <c r="M448" s="6">
        <f t="shared" si="31"/>
        <v>257.39999999999998</v>
      </c>
      <c r="N448" s="15">
        <f t="shared" ref="N448:N453" si="49">M448</f>
        <v>257.39999999999998</v>
      </c>
    </row>
    <row r="449" spans="1:14">
      <c r="A449" s="15" t="s">
        <v>360</v>
      </c>
      <c r="B449" s="16" t="s">
        <v>22</v>
      </c>
      <c r="C449" s="15" t="s">
        <v>387</v>
      </c>
      <c r="D449" s="15" t="s">
        <v>11</v>
      </c>
      <c r="E449" s="15" t="s">
        <v>381</v>
      </c>
      <c r="F449" s="15" t="s">
        <v>383</v>
      </c>
      <c r="G449" s="6">
        <v>97.6</v>
      </c>
      <c r="H449" s="6">
        <v>90.1</v>
      </c>
      <c r="I449" s="6">
        <v>94.1</v>
      </c>
      <c r="M449" s="6">
        <f t="shared" si="31"/>
        <v>281.79999999999995</v>
      </c>
      <c r="N449" s="15">
        <f t="shared" si="49"/>
        <v>281.79999999999995</v>
      </c>
    </row>
    <row r="450" spans="1:14">
      <c r="A450" s="15" t="s">
        <v>212</v>
      </c>
      <c r="B450" s="16" t="s">
        <v>22</v>
      </c>
      <c r="C450" s="15" t="s">
        <v>382</v>
      </c>
      <c r="D450" s="15" t="s">
        <v>11</v>
      </c>
      <c r="E450" s="15" t="s">
        <v>381</v>
      </c>
      <c r="F450" s="15" t="s">
        <v>383</v>
      </c>
      <c r="G450" s="6">
        <v>101.8</v>
      </c>
      <c r="H450" s="6">
        <v>95.1</v>
      </c>
      <c r="I450" s="6">
        <v>102.3</v>
      </c>
      <c r="M450" s="6">
        <f t="shared" si="31"/>
        <v>299.2</v>
      </c>
      <c r="N450" s="15">
        <f t="shared" si="49"/>
        <v>299.2</v>
      </c>
    </row>
    <row r="451" spans="1:14">
      <c r="A451" s="15" t="s">
        <v>286</v>
      </c>
      <c r="B451" s="15" t="s">
        <v>22</v>
      </c>
      <c r="C451" s="15" t="s">
        <v>384</v>
      </c>
      <c r="D451" s="15" t="s">
        <v>11</v>
      </c>
      <c r="E451" s="15" t="s">
        <v>381</v>
      </c>
      <c r="F451" s="15" t="s">
        <v>383</v>
      </c>
      <c r="G451" s="6">
        <v>85.8</v>
      </c>
      <c r="H451" s="6">
        <v>79.8</v>
      </c>
      <c r="I451" s="6">
        <v>84.4</v>
      </c>
      <c r="M451" s="6">
        <f t="shared" si="31"/>
        <v>250</v>
      </c>
      <c r="N451" s="15">
        <f t="shared" si="49"/>
        <v>250</v>
      </c>
    </row>
    <row r="452" spans="1:14">
      <c r="A452" s="15" t="s">
        <v>315</v>
      </c>
      <c r="B452" s="15" t="s">
        <v>22</v>
      </c>
      <c r="C452" s="15" t="s">
        <v>385</v>
      </c>
      <c r="D452" s="15" t="s">
        <v>11</v>
      </c>
      <c r="E452" s="15" t="s">
        <v>381</v>
      </c>
      <c r="F452" s="15" t="s">
        <v>383</v>
      </c>
      <c r="G452" s="6">
        <v>93.6</v>
      </c>
      <c r="H452" s="6">
        <v>88.4</v>
      </c>
      <c r="I452" s="6">
        <v>91.4</v>
      </c>
      <c r="M452" s="6">
        <f t="shared" si="31"/>
        <v>273.39999999999998</v>
      </c>
      <c r="N452" s="15">
        <f t="shared" si="49"/>
        <v>273.39999999999998</v>
      </c>
    </row>
    <row r="453" spans="1:14">
      <c r="A453" s="15" t="s">
        <v>75</v>
      </c>
      <c r="B453" s="15" t="s">
        <v>22</v>
      </c>
      <c r="C453" s="15" t="s">
        <v>49</v>
      </c>
      <c r="D453" s="15" t="s">
        <v>11</v>
      </c>
      <c r="E453" s="15" t="s">
        <v>381</v>
      </c>
      <c r="F453" s="15" t="s">
        <v>383</v>
      </c>
      <c r="G453" s="6">
        <v>90</v>
      </c>
      <c r="H453" s="6">
        <v>94.2</v>
      </c>
      <c r="I453" s="6">
        <v>85.6</v>
      </c>
      <c r="M453" s="6">
        <f t="shared" si="31"/>
        <v>269.79999999999995</v>
      </c>
      <c r="N453" s="15">
        <f t="shared" si="49"/>
        <v>269.79999999999995</v>
      </c>
    </row>
    <row r="454" spans="1:14">
      <c r="A454" s="15" t="s">
        <v>154</v>
      </c>
      <c r="B454" s="16" t="s">
        <v>15</v>
      </c>
      <c r="C454" s="15" t="s">
        <v>49</v>
      </c>
      <c r="D454" s="15" t="s">
        <v>11</v>
      </c>
      <c r="E454" s="15" t="s">
        <v>51</v>
      </c>
      <c r="F454" s="15" t="s">
        <v>52</v>
      </c>
      <c r="G454" s="6">
        <v>92.5</v>
      </c>
      <c r="H454" s="6">
        <v>92.4</v>
      </c>
      <c r="I454" s="6">
        <v>90.7</v>
      </c>
      <c r="M454" s="6">
        <f t="shared" si="31"/>
        <v>275.60000000000002</v>
      </c>
      <c r="N454" s="15"/>
    </row>
    <row r="455" spans="1:14">
      <c r="A455" s="15" t="s">
        <v>161</v>
      </c>
      <c r="B455" s="16" t="s">
        <v>21</v>
      </c>
      <c r="C455" s="15" t="s">
        <v>49</v>
      </c>
      <c r="D455" s="15" t="s">
        <v>11</v>
      </c>
      <c r="E455" s="15" t="s">
        <v>381</v>
      </c>
      <c r="F455" s="15" t="s">
        <v>383</v>
      </c>
      <c r="G455" s="6">
        <v>91.5</v>
      </c>
      <c r="H455" s="6">
        <v>92.5</v>
      </c>
      <c r="I455" s="6">
        <v>82.4</v>
      </c>
      <c r="M455" s="6">
        <f t="shared" si="31"/>
        <v>266.39999999999998</v>
      </c>
      <c r="N455" s="15">
        <f t="shared" ref="N455:N456" si="50">M455</f>
        <v>266.39999999999998</v>
      </c>
    </row>
    <row r="456" spans="1:14">
      <c r="A456" s="15" t="s">
        <v>349</v>
      </c>
      <c r="B456" s="16" t="s">
        <v>23</v>
      </c>
      <c r="C456" s="15" t="s">
        <v>386</v>
      </c>
      <c r="D456" s="15" t="s">
        <v>11</v>
      </c>
      <c r="E456" s="15" t="s">
        <v>381</v>
      </c>
      <c r="F456" s="15" t="s">
        <v>383</v>
      </c>
      <c r="G456" s="6">
        <v>96.6</v>
      </c>
      <c r="H456" s="6">
        <v>95.9</v>
      </c>
      <c r="I456" s="6">
        <v>97.5</v>
      </c>
      <c r="M456" s="6">
        <f t="shared" si="31"/>
        <v>290</v>
      </c>
      <c r="N456" s="15">
        <f t="shared" si="50"/>
        <v>290</v>
      </c>
    </row>
    <row r="457" spans="1:14">
      <c r="A457" s="15" t="s">
        <v>63</v>
      </c>
      <c r="B457" s="16" t="s">
        <v>13</v>
      </c>
      <c r="C457" s="15" t="s">
        <v>49</v>
      </c>
      <c r="D457" s="16" t="s">
        <v>12</v>
      </c>
      <c r="E457" s="15" t="s">
        <v>381</v>
      </c>
      <c r="F457" s="15" t="s">
        <v>52</v>
      </c>
      <c r="G457" s="6">
        <v>96</v>
      </c>
      <c r="H457" s="6">
        <v>95</v>
      </c>
      <c r="M457" s="6">
        <f t="shared" si="31"/>
        <v>191</v>
      </c>
      <c r="N457" s="15">
        <f>M457/2*3</f>
        <v>286.5</v>
      </c>
    </row>
    <row r="458" spans="1:14">
      <c r="A458" s="15" t="s">
        <v>60</v>
      </c>
      <c r="B458" s="16" t="s">
        <v>13</v>
      </c>
      <c r="C458" s="15" t="s">
        <v>49</v>
      </c>
      <c r="D458" s="16" t="s">
        <v>12</v>
      </c>
      <c r="E458" s="15" t="s">
        <v>51</v>
      </c>
      <c r="F458" s="15" t="s">
        <v>52</v>
      </c>
      <c r="G458" s="6">
        <v>94</v>
      </c>
      <c r="H458" s="6">
        <v>95</v>
      </c>
      <c r="M458" s="6">
        <f t="shared" si="31"/>
        <v>189</v>
      </c>
      <c r="N458" s="15"/>
    </row>
    <row r="459" spans="1:14">
      <c r="A459" s="15" t="s">
        <v>195</v>
      </c>
      <c r="B459" s="16" t="s">
        <v>16</v>
      </c>
      <c r="C459" s="15" t="s">
        <v>49</v>
      </c>
      <c r="D459" s="16" t="s">
        <v>12</v>
      </c>
      <c r="E459" s="15" t="s">
        <v>381</v>
      </c>
      <c r="F459" s="15" t="s">
        <v>52</v>
      </c>
      <c r="G459" s="6">
        <v>88</v>
      </c>
      <c r="H459" s="6">
        <v>84</v>
      </c>
      <c r="M459" s="6">
        <f t="shared" si="31"/>
        <v>172</v>
      </c>
      <c r="N459" s="15">
        <f>M459/2*3</f>
        <v>258</v>
      </c>
    </row>
    <row r="460" spans="1:14">
      <c r="A460" s="15" t="s">
        <v>104</v>
      </c>
      <c r="B460" s="16" t="s">
        <v>16</v>
      </c>
      <c r="C460" s="15" t="s">
        <v>49</v>
      </c>
      <c r="D460" s="16" t="s">
        <v>12</v>
      </c>
      <c r="E460" s="15" t="s">
        <v>51</v>
      </c>
      <c r="F460" s="15" t="s">
        <v>52</v>
      </c>
      <c r="G460" s="6">
        <v>83</v>
      </c>
      <c r="H460" s="6">
        <v>74</v>
      </c>
      <c r="M460" s="6">
        <f t="shared" si="31"/>
        <v>157</v>
      </c>
      <c r="N460" s="15"/>
    </row>
    <row r="461" spans="1:14">
      <c r="A461" s="15" t="s">
        <v>194</v>
      </c>
      <c r="B461" s="16" t="s">
        <v>25</v>
      </c>
      <c r="C461" s="15" t="s">
        <v>49</v>
      </c>
      <c r="D461" s="16" t="s">
        <v>12</v>
      </c>
      <c r="E461" s="15" t="s">
        <v>381</v>
      </c>
      <c r="F461" s="15" t="s">
        <v>52</v>
      </c>
      <c r="G461" s="6">
        <v>87</v>
      </c>
      <c r="H461" s="6">
        <v>89</v>
      </c>
      <c r="M461" s="6">
        <f t="shared" si="31"/>
        <v>176</v>
      </c>
      <c r="N461" s="15">
        <f t="shared" ref="N461:N466" si="51">M461/2*3</f>
        <v>264</v>
      </c>
    </row>
    <row r="462" spans="1:14">
      <c r="A462" s="15" t="s">
        <v>128</v>
      </c>
      <c r="B462" s="16" t="s">
        <v>27</v>
      </c>
      <c r="C462" s="15" t="s">
        <v>49</v>
      </c>
      <c r="D462" s="16" t="s">
        <v>12</v>
      </c>
      <c r="E462" s="15" t="s">
        <v>381</v>
      </c>
      <c r="F462" s="15" t="s">
        <v>52</v>
      </c>
      <c r="G462" s="6">
        <v>84</v>
      </c>
      <c r="H462" s="6">
        <v>86</v>
      </c>
      <c r="M462" s="6">
        <f t="shared" si="31"/>
        <v>170</v>
      </c>
      <c r="N462" s="15">
        <f t="shared" si="51"/>
        <v>255</v>
      </c>
    </row>
    <row r="463" spans="1:14">
      <c r="A463" s="15" t="s">
        <v>79</v>
      </c>
      <c r="B463" s="16" t="s">
        <v>17</v>
      </c>
      <c r="C463" s="15" t="s">
        <v>49</v>
      </c>
      <c r="D463" s="16" t="s">
        <v>12</v>
      </c>
      <c r="E463" s="15" t="s">
        <v>381</v>
      </c>
      <c r="F463" s="15" t="s">
        <v>52</v>
      </c>
      <c r="G463" s="6">
        <v>85</v>
      </c>
      <c r="H463" s="6">
        <v>85</v>
      </c>
      <c r="M463" s="6">
        <f t="shared" si="31"/>
        <v>170</v>
      </c>
      <c r="N463" s="15">
        <f t="shared" si="51"/>
        <v>255</v>
      </c>
    </row>
    <row r="464" spans="1:14">
      <c r="A464" s="15" t="s">
        <v>136</v>
      </c>
      <c r="B464" s="16" t="s">
        <v>26</v>
      </c>
      <c r="C464" s="15" t="s">
        <v>49</v>
      </c>
      <c r="D464" s="16" t="s">
        <v>12</v>
      </c>
      <c r="E464" s="15" t="s">
        <v>381</v>
      </c>
      <c r="F464" s="15" t="s">
        <v>52</v>
      </c>
      <c r="G464" s="6">
        <v>81</v>
      </c>
      <c r="H464" s="6">
        <v>80</v>
      </c>
      <c r="M464" s="6">
        <f t="shared" si="31"/>
        <v>161</v>
      </c>
      <c r="N464" s="15">
        <f t="shared" si="51"/>
        <v>241.5</v>
      </c>
    </row>
    <row r="465" spans="1:14">
      <c r="A465" s="15" t="s">
        <v>276</v>
      </c>
      <c r="B465" s="16" t="s">
        <v>15</v>
      </c>
      <c r="C465" s="15" t="s">
        <v>382</v>
      </c>
      <c r="D465" s="16" t="s">
        <v>12</v>
      </c>
      <c r="E465" s="15" t="s">
        <v>381</v>
      </c>
      <c r="F465" s="15" t="s">
        <v>52</v>
      </c>
      <c r="G465" s="6">
        <v>92</v>
      </c>
      <c r="H465" s="6">
        <v>86</v>
      </c>
      <c r="M465" s="6">
        <f t="shared" si="31"/>
        <v>178</v>
      </c>
      <c r="N465" s="15">
        <f t="shared" si="51"/>
        <v>267</v>
      </c>
    </row>
    <row r="466" spans="1:14">
      <c r="A466" s="15" t="s">
        <v>138</v>
      </c>
      <c r="B466" s="16" t="s">
        <v>28</v>
      </c>
      <c r="C466" s="15" t="s">
        <v>49</v>
      </c>
      <c r="D466" s="16" t="s">
        <v>12</v>
      </c>
      <c r="E466" s="15" t="s">
        <v>381</v>
      </c>
      <c r="F466" s="15" t="s">
        <v>52</v>
      </c>
      <c r="G466" s="6">
        <v>68</v>
      </c>
      <c r="H466" s="6">
        <v>65</v>
      </c>
      <c r="M466" s="6">
        <f t="shared" si="31"/>
        <v>133</v>
      </c>
      <c r="N466" s="15">
        <f t="shared" si="51"/>
        <v>199.5</v>
      </c>
    </row>
    <row r="467" spans="1:14">
      <c r="A467" s="15" t="s">
        <v>56</v>
      </c>
      <c r="B467" s="16" t="s">
        <v>13</v>
      </c>
      <c r="C467" s="15" t="s">
        <v>49</v>
      </c>
      <c r="D467" s="15" t="s">
        <v>12</v>
      </c>
      <c r="E467" s="15" t="s">
        <v>51</v>
      </c>
      <c r="F467" s="15" t="s">
        <v>52</v>
      </c>
      <c r="G467" s="6">
        <v>90</v>
      </c>
      <c r="H467" s="6">
        <v>92</v>
      </c>
      <c r="M467" s="6">
        <f t="shared" si="31"/>
        <v>182</v>
      </c>
      <c r="N467" s="15"/>
    </row>
    <row r="468" spans="1:14">
      <c r="A468" s="15" t="s">
        <v>68</v>
      </c>
      <c r="B468" s="16" t="s">
        <v>13</v>
      </c>
      <c r="C468" s="15" t="s">
        <v>49</v>
      </c>
      <c r="D468" s="15" t="s">
        <v>12</v>
      </c>
      <c r="E468" s="15" t="s">
        <v>51</v>
      </c>
      <c r="F468" s="15" t="s">
        <v>52</v>
      </c>
      <c r="G468" s="6">
        <v>87</v>
      </c>
      <c r="H468" s="6">
        <v>91</v>
      </c>
      <c r="M468" s="6">
        <f t="shared" si="31"/>
        <v>178</v>
      </c>
      <c r="N468" s="15"/>
    </row>
    <row r="469" spans="1:14">
      <c r="A469" s="15" t="s">
        <v>81</v>
      </c>
      <c r="B469" s="16" t="s">
        <v>15</v>
      </c>
      <c r="C469" s="15" t="s">
        <v>49</v>
      </c>
      <c r="D469" s="16" t="s">
        <v>12</v>
      </c>
      <c r="E469" s="15" t="s">
        <v>51</v>
      </c>
      <c r="F469" s="15" t="s">
        <v>52</v>
      </c>
      <c r="G469" s="6">
        <v>94</v>
      </c>
      <c r="H469" s="6">
        <v>94</v>
      </c>
      <c r="M469" s="6">
        <f t="shared" si="31"/>
        <v>188</v>
      </c>
      <c r="N469" s="15"/>
    </row>
    <row r="470" spans="1:14">
      <c r="A470" s="15" t="s">
        <v>145</v>
      </c>
      <c r="B470" s="16" t="s">
        <v>24</v>
      </c>
      <c r="C470" s="15" t="s">
        <v>49</v>
      </c>
      <c r="D470" s="15" t="s">
        <v>12</v>
      </c>
      <c r="E470" s="15" t="s">
        <v>381</v>
      </c>
      <c r="F470" s="15" t="s">
        <v>383</v>
      </c>
      <c r="G470" s="6">
        <v>87</v>
      </c>
      <c r="H470" s="6">
        <v>75</v>
      </c>
      <c r="M470" s="6">
        <f t="shared" si="31"/>
        <v>162</v>
      </c>
      <c r="N470" s="15">
        <f>M470/2*3</f>
        <v>243</v>
      </c>
    </row>
    <row r="471" spans="1:14">
      <c r="A471" s="15" t="s">
        <v>86</v>
      </c>
      <c r="B471" s="16" t="s">
        <v>18</v>
      </c>
      <c r="C471" s="15" t="s">
        <v>49</v>
      </c>
      <c r="D471" s="15" t="s">
        <v>12</v>
      </c>
      <c r="E471" s="15" t="s">
        <v>51</v>
      </c>
      <c r="F471" s="15" t="s">
        <v>383</v>
      </c>
      <c r="G471" s="6">
        <v>87</v>
      </c>
      <c r="H471" s="6">
        <v>77</v>
      </c>
      <c r="M471" s="6">
        <f t="shared" si="31"/>
        <v>164</v>
      </c>
      <c r="N471" s="15"/>
    </row>
    <row r="472" spans="1:14">
      <c r="A472" s="15" t="s">
        <v>61</v>
      </c>
      <c r="B472" s="16" t="s">
        <v>18</v>
      </c>
      <c r="C472" s="15" t="s">
        <v>49</v>
      </c>
      <c r="D472" s="15" t="s">
        <v>12</v>
      </c>
      <c r="E472" s="15" t="s">
        <v>381</v>
      </c>
      <c r="F472" s="15" t="s">
        <v>383</v>
      </c>
      <c r="G472" s="6">
        <v>94</v>
      </c>
      <c r="H472" s="6">
        <v>87</v>
      </c>
      <c r="M472" s="6">
        <f t="shared" si="31"/>
        <v>181</v>
      </c>
      <c r="N472" s="15">
        <f t="shared" ref="N472:N474" si="52">M472/2*3</f>
        <v>271.5</v>
      </c>
    </row>
    <row r="473" spans="1:14">
      <c r="A473" s="15" t="s">
        <v>134</v>
      </c>
      <c r="B473" s="16" t="s">
        <v>23</v>
      </c>
      <c r="C473" s="15" t="s">
        <v>49</v>
      </c>
      <c r="D473" s="15" t="s">
        <v>12</v>
      </c>
      <c r="E473" s="15" t="s">
        <v>381</v>
      </c>
      <c r="F473" s="15" t="s">
        <v>383</v>
      </c>
      <c r="G473" s="6">
        <v>67</v>
      </c>
      <c r="H473" s="6">
        <v>62</v>
      </c>
      <c r="M473" s="6">
        <f t="shared" si="31"/>
        <v>129</v>
      </c>
      <c r="N473" s="15">
        <f t="shared" si="52"/>
        <v>193.5</v>
      </c>
    </row>
    <row r="474" spans="1:14">
      <c r="A474" s="15" t="s">
        <v>198</v>
      </c>
      <c r="B474" s="16" t="s">
        <v>20</v>
      </c>
      <c r="C474" s="15" t="s">
        <v>49</v>
      </c>
      <c r="D474" s="15" t="s">
        <v>12</v>
      </c>
      <c r="E474" s="15" t="s">
        <v>381</v>
      </c>
      <c r="F474" s="15" t="s">
        <v>383</v>
      </c>
      <c r="G474" s="6">
        <v>85</v>
      </c>
      <c r="H474" s="6">
        <v>83</v>
      </c>
      <c r="M474" s="6">
        <f t="shared" si="31"/>
        <v>168</v>
      </c>
      <c r="N474" s="15">
        <f t="shared" si="52"/>
        <v>252</v>
      </c>
    </row>
    <row r="475" spans="1:14">
      <c r="A475" s="15" t="s">
        <v>117</v>
      </c>
      <c r="B475" s="16" t="s">
        <v>19</v>
      </c>
      <c r="C475" s="15" t="s">
        <v>49</v>
      </c>
      <c r="D475" s="15" t="s">
        <v>12</v>
      </c>
      <c r="E475" s="15" t="s">
        <v>51</v>
      </c>
      <c r="F475" s="15" t="s">
        <v>383</v>
      </c>
      <c r="G475" s="6">
        <v>47</v>
      </c>
      <c r="H475" s="6">
        <v>56</v>
      </c>
      <c r="M475" s="6">
        <f t="shared" si="31"/>
        <v>103</v>
      </c>
      <c r="N475" s="15"/>
    </row>
    <row r="476" spans="1:14">
      <c r="A476" s="15" t="s">
        <v>182</v>
      </c>
      <c r="B476" s="16" t="s">
        <v>19</v>
      </c>
      <c r="C476" s="15" t="s">
        <v>49</v>
      </c>
      <c r="D476" s="15" t="s">
        <v>12</v>
      </c>
      <c r="E476" s="15" t="s">
        <v>381</v>
      </c>
      <c r="F476" s="15" t="s">
        <v>383</v>
      </c>
      <c r="G476" s="6">
        <v>37</v>
      </c>
      <c r="H476" s="6">
        <v>62</v>
      </c>
      <c r="M476" s="6">
        <f t="shared" si="31"/>
        <v>99</v>
      </c>
      <c r="N476" s="15">
        <f t="shared" ref="N476:N477" si="53">M476/2*3</f>
        <v>148.5</v>
      </c>
    </row>
    <row r="477" spans="1:14">
      <c r="A477" s="15" t="s">
        <v>85</v>
      </c>
      <c r="B477" s="16" t="s">
        <v>14</v>
      </c>
      <c r="C477" s="15" t="s">
        <v>49</v>
      </c>
      <c r="D477" s="15" t="s">
        <v>12</v>
      </c>
      <c r="E477" s="15" t="s">
        <v>381</v>
      </c>
      <c r="F477" s="15" t="s">
        <v>383</v>
      </c>
      <c r="G477" s="6">
        <v>91</v>
      </c>
      <c r="H477" s="6">
        <v>87</v>
      </c>
      <c r="M477" s="6">
        <f t="shared" si="31"/>
        <v>178</v>
      </c>
      <c r="N477" s="15">
        <f t="shared" si="53"/>
        <v>267</v>
      </c>
    </row>
    <row r="478" spans="1:14">
      <c r="A478" s="15" t="s">
        <v>57</v>
      </c>
      <c r="B478" s="16" t="s">
        <v>14</v>
      </c>
      <c r="C478" s="15" t="s">
        <v>49</v>
      </c>
      <c r="D478" s="15" t="s">
        <v>12</v>
      </c>
      <c r="E478" s="15" t="s">
        <v>51</v>
      </c>
      <c r="F478" s="15" t="s">
        <v>383</v>
      </c>
      <c r="G478" s="6">
        <v>87</v>
      </c>
      <c r="H478" s="6">
        <v>81</v>
      </c>
      <c r="M478" s="6">
        <f t="shared" si="31"/>
        <v>168</v>
      </c>
      <c r="N478" s="15"/>
    </row>
    <row r="479" spans="1:14">
      <c r="A479" s="15" t="s">
        <v>193</v>
      </c>
      <c r="B479" s="16" t="s">
        <v>21</v>
      </c>
      <c r="C479" s="15" t="s">
        <v>49</v>
      </c>
      <c r="D479" s="15" t="s">
        <v>12</v>
      </c>
      <c r="E479" s="15" t="s">
        <v>381</v>
      </c>
      <c r="F479" s="15" t="s">
        <v>383</v>
      </c>
      <c r="G479" s="6">
        <v>85</v>
      </c>
      <c r="H479" s="6">
        <v>92</v>
      </c>
      <c r="M479" s="6">
        <f t="shared" si="31"/>
        <v>177</v>
      </c>
      <c r="N479" s="15">
        <f t="shared" ref="N479:N480" si="54">M479/2*3</f>
        <v>265.5</v>
      </c>
    </row>
    <row r="480" spans="1:14">
      <c r="A480" s="15" t="s">
        <v>121</v>
      </c>
      <c r="B480" s="16" t="s">
        <v>22</v>
      </c>
      <c r="C480" s="15" t="s">
        <v>49</v>
      </c>
      <c r="D480" s="15" t="s">
        <v>12</v>
      </c>
      <c r="E480" s="15" t="s">
        <v>381</v>
      </c>
      <c r="F480" s="15" t="s">
        <v>383</v>
      </c>
      <c r="G480" s="6">
        <v>90</v>
      </c>
      <c r="H480" s="6">
        <v>89</v>
      </c>
      <c r="M480" s="6">
        <f t="shared" si="31"/>
        <v>179</v>
      </c>
      <c r="N480" s="15">
        <f t="shared" si="54"/>
        <v>268.5</v>
      </c>
    </row>
    <row r="481" spans="1:14">
      <c r="A481" s="15" t="s">
        <v>87</v>
      </c>
      <c r="B481" s="16" t="s">
        <v>22</v>
      </c>
      <c r="C481" s="15" t="s">
        <v>49</v>
      </c>
      <c r="D481" s="15" t="s">
        <v>12</v>
      </c>
      <c r="E481" s="15" t="s">
        <v>51</v>
      </c>
      <c r="F481" s="15" t="s">
        <v>383</v>
      </c>
      <c r="G481" s="6">
        <v>89</v>
      </c>
      <c r="H481" s="6">
        <v>88</v>
      </c>
      <c r="M481" s="6">
        <f t="shared" si="31"/>
        <v>177</v>
      </c>
      <c r="N481" s="15"/>
    </row>
    <row r="482" spans="1:14">
      <c r="A482" s="15" t="s">
        <v>196</v>
      </c>
      <c r="B482" s="16" t="s">
        <v>15</v>
      </c>
      <c r="C482" s="15" t="s">
        <v>49</v>
      </c>
      <c r="D482" s="15" t="s">
        <v>12</v>
      </c>
      <c r="E482" s="15" t="s">
        <v>51</v>
      </c>
      <c r="F482" s="15" t="s">
        <v>52</v>
      </c>
      <c r="G482" s="6">
        <v>83</v>
      </c>
      <c r="H482" s="6">
        <v>89</v>
      </c>
      <c r="M482" s="6">
        <f t="shared" si="31"/>
        <v>172</v>
      </c>
      <c r="N482" s="15"/>
    </row>
    <row r="483" spans="1:14">
      <c r="A483" s="15" t="s">
        <v>158</v>
      </c>
      <c r="B483" s="16" t="s">
        <v>17</v>
      </c>
      <c r="C483" s="15" t="s">
        <v>49</v>
      </c>
      <c r="D483" s="16" t="s">
        <v>8</v>
      </c>
      <c r="E483" s="15" t="s">
        <v>51</v>
      </c>
      <c r="F483" s="15" t="s">
        <v>52</v>
      </c>
      <c r="G483" s="6">
        <v>62</v>
      </c>
      <c r="H483" s="6">
        <v>71</v>
      </c>
      <c r="I483" s="6">
        <v>78</v>
      </c>
      <c r="N483" s="15"/>
    </row>
    <row r="484" spans="1:14">
      <c r="A484" s="15"/>
      <c r="B484" s="16"/>
      <c r="C484" s="15"/>
      <c r="D484" s="16"/>
      <c r="E484" s="15"/>
      <c r="F484" s="15"/>
      <c r="N484" s="15"/>
    </row>
    <row r="485" spans="1:14">
      <c r="A485" s="15"/>
      <c r="B485" s="16"/>
      <c r="C485" s="15"/>
      <c r="D485" s="16"/>
      <c r="E485" s="15"/>
      <c r="F485" s="15"/>
      <c r="N485" s="15"/>
    </row>
    <row r="486" spans="1:14">
      <c r="A486" s="15"/>
      <c r="B486" s="16"/>
      <c r="C486" s="15"/>
      <c r="D486" s="16"/>
      <c r="E486" s="15"/>
      <c r="F486" s="15"/>
      <c r="N486" s="15"/>
    </row>
    <row r="487" spans="1:14">
      <c r="A487" s="15"/>
      <c r="B487" s="16"/>
      <c r="C487" s="15"/>
      <c r="D487" s="16"/>
      <c r="E487" s="15"/>
      <c r="F487" s="15"/>
      <c r="N487" s="15"/>
    </row>
    <row r="488" spans="1:14">
      <c r="A488" s="15"/>
      <c r="B488" s="15"/>
      <c r="C488" s="15"/>
      <c r="D488" s="16"/>
      <c r="E488" s="15"/>
      <c r="F488" s="15"/>
      <c r="N488" s="15"/>
    </row>
    <row r="489" spans="1:14">
      <c r="A489" s="15"/>
      <c r="B489" s="16"/>
      <c r="C489" s="15"/>
      <c r="D489" s="15"/>
      <c r="E489" s="15"/>
      <c r="F489" s="15"/>
      <c r="N489" s="15"/>
    </row>
    <row r="490" spans="1:14">
      <c r="A490" s="15"/>
      <c r="B490" s="16"/>
      <c r="C490" s="15"/>
      <c r="D490" s="15"/>
      <c r="E490" s="15"/>
      <c r="F490" s="15"/>
      <c r="N490" s="15"/>
    </row>
    <row r="491" spans="1:14">
      <c r="A491" s="15"/>
      <c r="B491" s="16"/>
      <c r="C491" s="15"/>
      <c r="D491" s="15"/>
      <c r="E491" s="15"/>
      <c r="F491" s="15"/>
      <c r="N491" s="15"/>
    </row>
    <row r="492" spans="1:14">
      <c r="A492" s="15"/>
      <c r="B492" s="16"/>
      <c r="C492" s="15"/>
      <c r="D492" s="15"/>
      <c r="E492" s="15"/>
      <c r="F492" s="15"/>
      <c r="N492" s="15"/>
    </row>
    <row r="493" spans="1:14">
      <c r="A493" s="15"/>
      <c r="B493" s="16"/>
      <c r="C493" s="15"/>
      <c r="D493" s="15"/>
      <c r="E493" s="15"/>
      <c r="F493" s="15"/>
      <c r="N493" s="15"/>
    </row>
    <row r="494" spans="1:14">
      <c r="A494" s="15"/>
      <c r="B494" s="16"/>
      <c r="C494" s="15"/>
      <c r="D494" s="15"/>
      <c r="E494" s="15"/>
      <c r="F494" s="15"/>
      <c r="N494" s="15"/>
    </row>
    <row r="495" spans="1:14">
      <c r="A495" s="15"/>
      <c r="B495" s="16"/>
      <c r="C495" s="15"/>
      <c r="D495" s="16"/>
      <c r="E495" s="15"/>
      <c r="F495" s="15"/>
      <c r="N495" s="15"/>
    </row>
    <row r="496" spans="1:14">
      <c r="A496" s="15"/>
      <c r="B496" s="16"/>
      <c r="C496" s="15"/>
      <c r="D496" s="16"/>
      <c r="E496" s="15"/>
      <c r="F496" s="15"/>
      <c r="N496" s="15"/>
    </row>
    <row r="497" spans="1:14">
      <c r="A497" s="15"/>
      <c r="B497" s="16"/>
      <c r="C497" s="15"/>
      <c r="D497" s="16"/>
      <c r="E497" s="15"/>
      <c r="F497" s="15"/>
      <c r="N497" s="15"/>
    </row>
    <row r="498" spans="1:14">
      <c r="A498" s="15"/>
      <c r="B498" s="16"/>
      <c r="C498" s="15"/>
      <c r="D498" s="16"/>
      <c r="E498" s="15"/>
      <c r="F498" s="15"/>
      <c r="N498" s="15"/>
    </row>
    <row r="499" spans="1:14">
      <c r="A499" s="15"/>
      <c r="B499" s="16"/>
      <c r="C499" s="15"/>
      <c r="D499" s="16"/>
      <c r="E499" s="15"/>
      <c r="F499" s="15"/>
      <c r="N499" s="15"/>
    </row>
    <row r="500" spans="1:14">
      <c r="A500" s="15"/>
      <c r="B500" s="16"/>
      <c r="C500" s="15"/>
      <c r="D500" s="15"/>
      <c r="E500" s="15"/>
      <c r="F500" s="15"/>
      <c r="N500" s="15"/>
    </row>
    <row r="501" spans="1:14">
      <c r="A501" s="15"/>
      <c r="B501" s="16"/>
      <c r="C501" s="15"/>
      <c r="D501" s="15"/>
      <c r="E501" s="15"/>
      <c r="F501" s="15"/>
      <c r="N501" s="15"/>
    </row>
    <row r="502" spans="1:14">
      <c r="A502" s="15"/>
      <c r="B502" s="16"/>
      <c r="C502" s="15"/>
      <c r="D502" s="15"/>
      <c r="E502" s="15"/>
      <c r="F502" s="15"/>
      <c r="N502" s="15"/>
    </row>
    <row r="503" spans="1:14">
      <c r="A503" s="15"/>
      <c r="B503" s="16"/>
      <c r="C503" s="15"/>
      <c r="D503" s="15"/>
      <c r="E503" s="15"/>
      <c r="F503" s="15"/>
      <c r="N503" s="15"/>
    </row>
    <row r="504" spans="1:14">
      <c r="A504" s="15"/>
      <c r="B504" s="16"/>
      <c r="C504" s="15"/>
      <c r="D504" s="16"/>
      <c r="E504" s="15"/>
      <c r="F504" s="15"/>
      <c r="N504" s="15"/>
    </row>
    <row r="505" spans="1:14">
      <c r="A505" s="15"/>
      <c r="B505" s="16"/>
      <c r="C505" s="15"/>
      <c r="D505" s="16"/>
      <c r="E505" s="15"/>
      <c r="F505" s="15"/>
      <c r="N505" s="15"/>
    </row>
    <row r="506" spans="1:14">
      <c r="A506" s="15"/>
      <c r="B506" s="16"/>
      <c r="C506" s="15"/>
      <c r="D506" s="16"/>
      <c r="E506" s="15"/>
      <c r="F506" s="15"/>
      <c r="N506" s="15"/>
    </row>
    <row r="507" spans="1:14">
      <c r="A507" s="15"/>
      <c r="B507" s="16"/>
      <c r="C507" s="15"/>
      <c r="D507" s="16"/>
      <c r="E507" s="15"/>
      <c r="F507" s="15"/>
      <c r="N507" s="15"/>
    </row>
    <row r="508" spans="1:14">
      <c r="A508" s="15"/>
      <c r="B508" s="16"/>
      <c r="C508" s="15"/>
      <c r="D508" s="16"/>
      <c r="E508" s="15"/>
      <c r="F508" s="15"/>
      <c r="N508" s="15"/>
    </row>
    <row r="509" spans="1:14">
      <c r="A509" s="15"/>
      <c r="B509" s="15"/>
      <c r="C509" s="15"/>
      <c r="D509" s="15"/>
      <c r="E509" s="15"/>
      <c r="F509" s="15"/>
      <c r="N509" s="15"/>
    </row>
    <row r="510" spans="1:14">
      <c r="A510" s="15"/>
      <c r="B510" s="16"/>
      <c r="C510" s="15"/>
      <c r="D510" s="15"/>
      <c r="E510" s="15"/>
      <c r="F510" s="15"/>
      <c r="N510" s="15"/>
    </row>
    <row r="511" spans="1:14">
      <c r="A511" s="15"/>
      <c r="B511" s="16"/>
      <c r="C511" s="15"/>
      <c r="D511" s="15"/>
      <c r="E511" s="15"/>
      <c r="F511" s="15"/>
      <c r="N511" s="15"/>
    </row>
    <row r="512" spans="1:14">
      <c r="A512" s="15"/>
      <c r="B512" s="16"/>
      <c r="C512" s="15"/>
      <c r="D512" s="15"/>
      <c r="E512" s="15"/>
      <c r="F512" s="15"/>
      <c r="N512" s="15"/>
    </row>
  </sheetData>
  <autoFilter ref="A1:N512" xr:uid="{00000000-0009-0000-0000-000014000000}"/>
  <customSheetViews>
    <customSheetView guid="{04C1346E-E972-47D9-AB54-A9E3E388B76D}" filter="1" showAutoFilter="1">
      <pageMargins left="0.7" right="0.7" top="0.75" bottom="0.75" header="0.3" footer="0.3"/>
      <autoFilter ref="A1:N512" xr:uid="{54D1AA2C-D3D0-476D-AFCF-05DE531F6430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8432E023-586C-4770-AC67-709005F3DA64}" filter="1" showAutoFilter="1">
      <pageMargins left="0.7" right="0.7" top="0.75" bottom="0.75" header="0.3" footer="0.3"/>
      <autoFilter ref="A1:N512" xr:uid="{1552013D-0D01-44D6-A468-C2C575C8E2D5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86EA01C0-CB46-450A-8C09-650957115191}" filter="1" showAutoFilter="1">
      <pageMargins left="0.7" right="0.7" top="0.75" bottom="0.75" header="0.3" footer="0.3"/>
      <autoFilter ref="A1:N512" xr:uid="{35A17A08-22D7-4A51-9ACC-88793AD404CB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42134171-6716-4D5F-9AD6-A4C5BCC5224C}" filter="1" showAutoFilter="1">
      <pageMargins left="0.7" right="0.7" top="0.75" bottom="0.75" header="0.3" footer="0.3"/>
      <autoFilter ref="A1:N512" xr:uid="{A8629399-0120-4685-913D-81ABE3377BCF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9E9F6428-F36A-4572-8977-D38EFE6DE029}" filter="1" showAutoFilter="1">
      <pageMargins left="0.7" right="0.7" top="0.75" bottom="0.75" header="0.3" footer="0.3"/>
      <autoFilter ref="A1:N512" xr:uid="{3A8922C2-B3C0-4031-8E1F-A397A5700021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430F5AC0-44E5-467D-A1F0-B410ACE4FB98}" filter="1" showAutoFilter="1">
      <pageMargins left="0.7" right="0.7" top="0.75" bottom="0.75" header="0.3" footer="0.3"/>
      <autoFilter ref="A1:N512" xr:uid="{9781F609-C96A-4181-B298-9EC33DAA5BC1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D67D323C-3B0F-4FE4-9ADD-CD86C3AB987F}" filter="1" showAutoFilter="1">
      <pageMargins left="0.7" right="0.7" top="0.75" bottom="0.75" header="0.3" footer="0.3"/>
      <autoFilter ref="A1:N512" xr:uid="{F4223868-5579-4722-BFE8-E8DC3C4368F7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5DCD2FBD-CB0A-41B8-9966-D3EA39FA2098}" filter="1" showAutoFilter="1">
      <pageMargins left="0.7" right="0.7" top="0.75" bottom="0.75" header="0.3" footer="0.3"/>
      <autoFilter ref="A1:N512" xr:uid="{4373051C-A261-4A23-98AD-3A702A7E1EA3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5FA21E8F-301D-4536-8159-B61B2049881D}" filter="1" showAutoFilter="1">
      <pageMargins left="0.7" right="0.7" top="0.75" bottom="0.75" header="0.3" footer="0.3"/>
      <autoFilter ref="A1:N512" xr:uid="{2C218C01-D363-4EB4-BD35-586875BCDD32}">
        <filterColumn colId="4">
          <filters>
            <filter val="Võistkond"/>
          </filters>
        </filterColumn>
        <filterColumn colId="12">
          <filters blank="1">
            <filter val="103"/>
            <filter val="119"/>
            <filter val="120"/>
            <filter val="121"/>
            <filter val="123"/>
            <filter val="127"/>
            <filter val="129"/>
            <filter val="130"/>
            <filter val="133"/>
            <filter val="135"/>
            <filter val="137"/>
            <filter val="138"/>
            <filter val="140"/>
            <filter val="141"/>
            <filter val="145"/>
            <filter val="146"/>
            <filter val="150"/>
            <filter val="157"/>
            <filter val="158"/>
            <filter val="164"/>
            <filter val="166"/>
            <filter val="167"/>
            <filter val="168"/>
            <filter val="170"/>
            <filter val="171"/>
            <filter val="172"/>
            <filter val="173"/>
            <filter val="174"/>
            <filter val="176"/>
            <filter val="177"/>
            <filter val="178"/>
            <filter val="179"/>
            <filter val="180"/>
            <filter val="184"/>
            <filter val="186"/>
            <filter val="188"/>
            <filter val="189"/>
            <filter val="190"/>
            <filter val="192"/>
            <filter val="195"/>
            <filter val="196"/>
            <filter val="199"/>
            <filter val="201"/>
            <filter val="206"/>
            <filter val="207"/>
            <filter val="209"/>
            <filter val="212"/>
            <filter val="213"/>
            <filter val="214"/>
            <filter val="220"/>
            <filter val="223"/>
            <filter val="227"/>
            <filter val="227.1"/>
            <filter val="231"/>
            <filter val="233.6"/>
            <filter val="235.1"/>
            <filter val="236"/>
            <filter val="237"/>
            <filter val="242"/>
            <filter val="255"/>
            <filter val="257.4"/>
            <filter val="259.9"/>
            <filter val="260"/>
            <filter val="261"/>
            <filter val="261.4"/>
            <filter val="262.5"/>
            <filter val="264"/>
            <filter val="266.4"/>
            <filter val="269.8"/>
            <filter val="273.4"/>
            <filter val="274.2"/>
            <filter val="275.6"/>
            <filter val="275.8"/>
            <filter val="276.1"/>
            <filter val="276.3"/>
            <filter val="276.9"/>
            <filter val="278.8"/>
            <filter val="278.9"/>
            <filter val="279.1"/>
            <filter val="280"/>
            <filter val="280.2"/>
            <filter val="281.1"/>
            <filter val="281.8"/>
            <filter val="282"/>
            <filter val="282.7"/>
            <filter val="283.5"/>
            <filter val="284.1"/>
            <filter val="284.4"/>
            <filter val="284.6"/>
            <filter val="284.7"/>
            <filter val="285.3"/>
            <filter val="286.3"/>
            <filter val="286.5"/>
            <filter val="288"/>
            <filter val="289.4"/>
            <filter val="290"/>
            <filter val="290.3"/>
            <filter val="290.8"/>
            <filter val="291.2"/>
            <filter val="292.8"/>
            <filter val="293"/>
            <filter val="293.3"/>
            <filter val="293.4"/>
            <filter val="294.9"/>
            <filter val="295.2"/>
            <filter val="295.4"/>
            <filter val="295.5"/>
            <filter val="297"/>
            <filter val="297.2"/>
            <filter val="298.1"/>
            <filter val="299"/>
            <filter val="299.2"/>
            <filter val="299.4"/>
            <filter val="300.6"/>
            <filter val="301.3"/>
            <filter val="301.4"/>
            <filter val="301.9"/>
            <filter val="302"/>
            <filter val="302.2"/>
            <filter val="303.3"/>
            <filter val="303.4"/>
            <filter val="303.6"/>
            <filter val="304.4"/>
            <filter val="304.7"/>
            <filter val="304.8"/>
            <filter val="305.7"/>
            <filter val="306.6"/>
            <filter val="307.3"/>
            <filter val="307.6"/>
            <filter val="307.9"/>
            <filter val="308.4"/>
            <filter val="310"/>
            <filter val="313.2"/>
            <filter val="343"/>
            <filter val="352"/>
            <filter val="374"/>
            <filter val="396"/>
            <filter val="397"/>
            <filter val="402"/>
            <filter val="406"/>
            <filter val="415"/>
            <filter val="426"/>
            <filter val="440"/>
            <filter val="454"/>
            <filter val="464"/>
            <filter val="469"/>
            <filter val="475"/>
            <filter val="485"/>
            <filter val="487"/>
            <filter val="489"/>
            <filter val="498"/>
            <filter val="500"/>
            <filter val="507"/>
            <filter val="518"/>
            <filter val="520"/>
            <filter val="529"/>
            <filter val="530"/>
            <filter val="534"/>
            <filter val="539"/>
            <filter val="540"/>
            <filter val="541"/>
            <filter val="542"/>
            <filter val="543"/>
            <filter val="546"/>
            <filter val="548"/>
            <filter val="549"/>
            <filter val="554"/>
            <filter val="555"/>
            <filter val="557"/>
            <filter val="560"/>
            <filter val="562"/>
            <filter val="564"/>
            <filter val="568"/>
            <filter val="571"/>
            <filter val="574"/>
            <filter val="575"/>
            <filter val="577"/>
            <filter val="583"/>
            <filter val="586"/>
            <filter val="589"/>
            <filter val="71"/>
            <filter val="73"/>
            <filter val="89"/>
            <filter val="91"/>
            <filter val="99"/>
          </filters>
        </filterColumn>
      </autoFilter>
    </customSheetView>
    <customSheetView guid="{D9AE939A-9EAB-4E5F-83E3-C3396AD423FA}" filter="1" showAutoFilter="1">
      <pageMargins left="0.7" right="0.7" top="0.75" bottom="0.75" header="0.3" footer="0.3"/>
      <autoFilter ref="A1:N512" xr:uid="{3BE82398-9B24-4DEB-9D0B-72EC4B4EA800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  <customSheetView guid="{FEB16096-75DB-482A-94C2-C3EC101CDD1E}" filter="1" showAutoFilter="1">
      <pageMargins left="0.7" right="0.7" top="0.75" bottom="0.75" header="0.3" footer="0.3"/>
      <autoFilter ref="A1:N512" xr:uid="{ADA8F466-112D-4333-9D39-5948E6883A48}">
        <filterColumn colId="3">
          <filters>
            <filter val="100m 3x10 H2"/>
            <filter val="200 m 2x10 H3"/>
            <filter val="25m .22 30+30 H8"/>
            <filter val="25m .22 H9"/>
            <filter val="25m 9,0mm H5"/>
            <filter val="300m H1"/>
            <filter val="300m VABA H1V"/>
            <filter val="50m 3x20 H6"/>
            <filter val="50m lamades H7"/>
            <filter val="50m liikuv H4"/>
          </filters>
        </filterColumn>
      </autoFilter>
    </customSheetView>
  </customSheetViews>
  <printOptions horizontalCentered="1" gridLines="1"/>
  <pageMargins left="0.7" right="0.7" top="0.75" bottom="0.75" header="0" footer="0"/>
  <pageSetup paperSize="9" fitToWidth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1400-000000000000}">
          <x14:formula1>
            <xm:f>Valikud!$F$3:$F$498</xm:f>
          </x14:formula1>
          <xm:sqref>A2:A512</xm:sqref>
        </x14:dataValidation>
        <x14:dataValidation type="list" allowBlank="1" xr:uid="{00000000-0002-0000-1400-000001000000}">
          <x14:formula1>
            <xm:f>Valikud!$A$3:$A$4</xm:f>
          </x14:formula1>
          <xm:sqref>E2:E512</xm:sqref>
        </x14:dataValidation>
        <x14:dataValidation type="list" allowBlank="1" xr:uid="{00000000-0002-0000-1400-000002000000}">
          <x14:formula1>
            <xm:f>Valikud!$B$3:$B$13</xm:f>
          </x14:formula1>
          <xm:sqref>D2:D512</xm:sqref>
        </x14:dataValidation>
        <x14:dataValidation type="list" allowBlank="1" xr:uid="{00000000-0002-0000-1400-000003000000}">
          <x14:formula1>
            <xm:f>Valikud!$E$3:$E$19</xm:f>
          </x14:formula1>
          <xm:sqref>B2:B512</xm:sqref>
        </x14:dataValidation>
        <x14:dataValidation type="list" allowBlank="1" xr:uid="{00000000-0002-0000-1400-000004000000}">
          <x14:formula1>
            <xm:f>Valikud!$C$3:$C$8</xm:f>
          </x14:formula1>
          <xm:sqref>C2:C512</xm:sqref>
        </x14:dataValidation>
        <x14:dataValidation type="list" allowBlank="1" xr:uid="{00000000-0002-0000-1400-000005000000}">
          <x14:formula1>
            <xm:f>Valikud!$D$3:$D$4</xm:f>
          </x14:formula1>
          <xm:sqref>F2:F512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Z12"/>
  <sheetViews>
    <sheetView workbookViewId="0"/>
  </sheetViews>
  <sheetFormatPr defaultColWidth="12.5703125" defaultRowHeight="15.75" customHeight="1"/>
  <cols>
    <col min="1" max="1" width="5.140625" customWidth="1"/>
    <col min="6" max="6" width="7.42578125" customWidth="1"/>
    <col min="10" max="16" width="8.85546875" customWidth="1"/>
  </cols>
  <sheetData>
    <row r="1" spans="1:26">
      <c r="A1" s="4" t="s">
        <v>388</v>
      </c>
    </row>
    <row r="2" spans="1:26">
      <c r="A2" s="4" t="s">
        <v>389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 t="s">
        <v>390</v>
      </c>
    </row>
    <row r="4" spans="1:26">
      <c r="A4" s="4" t="s">
        <v>391</v>
      </c>
    </row>
    <row r="5" spans="1:26">
      <c r="A5" s="4" t="s">
        <v>392</v>
      </c>
    </row>
    <row r="6" spans="1:26">
      <c r="A6" s="4" t="s">
        <v>393</v>
      </c>
    </row>
    <row r="7" spans="1:26">
      <c r="A7" s="4" t="s">
        <v>394</v>
      </c>
    </row>
    <row r="8" spans="1:26">
      <c r="A8" s="4" t="s">
        <v>395</v>
      </c>
    </row>
    <row r="12" spans="1:26">
      <c r="B12" s="2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2:I329"/>
  <sheetViews>
    <sheetView workbookViewId="0"/>
  </sheetViews>
  <sheetFormatPr defaultColWidth="12.5703125" defaultRowHeight="15.75" customHeight="1"/>
  <cols>
    <col min="2" max="2" width="15.85546875" customWidth="1"/>
    <col min="6" max="6" width="18.140625" customWidth="1"/>
  </cols>
  <sheetData>
    <row r="2" spans="1:9">
      <c r="A2" s="26" t="s">
        <v>396</v>
      </c>
      <c r="B2" s="26" t="s">
        <v>1</v>
      </c>
      <c r="C2" s="26" t="s">
        <v>369</v>
      </c>
      <c r="D2" s="26" t="s">
        <v>372</v>
      </c>
      <c r="E2" s="26" t="s">
        <v>381</v>
      </c>
      <c r="F2" s="26" t="s">
        <v>397</v>
      </c>
      <c r="G2" s="26"/>
      <c r="H2" s="26"/>
      <c r="I2" s="26" t="s">
        <v>396</v>
      </c>
    </row>
    <row r="3" spans="1:9">
      <c r="A3" s="6" t="s">
        <v>381</v>
      </c>
      <c r="B3" s="6" t="s">
        <v>6</v>
      </c>
      <c r="C3" s="6" t="s">
        <v>49</v>
      </c>
      <c r="D3" s="6" t="s">
        <v>52</v>
      </c>
      <c r="E3" s="6" t="s">
        <v>27</v>
      </c>
      <c r="F3" s="6" t="s">
        <v>108</v>
      </c>
      <c r="G3" s="6" t="s">
        <v>398</v>
      </c>
      <c r="H3" s="6" t="s">
        <v>399</v>
      </c>
      <c r="I3" s="6" t="s">
        <v>400</v>
      </c>
    </row>
    <row r="4" spans="1:9">
      <c r="A4" s="6" t="s">
        <v>51</v>
      </c>
      <c r="B4" s="6" t="s">
        <v>401</v>
      </c>
      <c r="C4" s="6" t="s">
        <v>382</v>
      </c>
      <c r="D4" s="6" t="s">
        <v>383</v>
      </c>
      <c r="E4" s="6" t="s">
        <v>26</v>
      </c>
      <c r="F4" s="6" t="s">
        <v>187</v>
      </c>
      <c r="G4" s="6" t="s">
        <v>402</v>
      </c>
      <c r="H4" s="6" t="s">
        <v>403</v>
      </c>
      <c r="I4" s="6" t="s">
        <v>404</v>
      </c>
    </row>
    <row r="5" spans="1:9">
      <c r="B5" s="6" t="s">
        <v>7</v>
      </c>
      <c r="C5" s="6" t="s">
        <v>384</v>
      </c>
      <c r="D5" s="6"/>
      <c r="E5" s="6" t="s">
        <v>28</v>
      </c>
      <c r="F5" s="6" t="s">
        <v>72</v>
      </c>
      <c r="G5" s="6" t="s">
        <v>18</v>
      </c>
      <c r="H5" s="6" t="s">
        <v>405</v>
      </c>
      <c r="I5" s="6" t="s">
        <v>51</v>
      </c>
    </row>
    <row r="6" spans="1:9">
      <c r="B6" s="6" t="s">
        <v>11</v>
      </c>
      <c r="C6" s="6" t="s">
        <v>385</v>
      </c>
      <c r="E6" s="6" t="s">
        <v>13</v>
      </c>
      <c r="F6" s="6" t="s">
        <v>356</v>
      </c>
      <c r="G6" s="6" t="s">
        <v>22</v>
      </c>
    </row>
    <row r="7" spans="1:9">
      <c r="B7" s="6" t="s">
        <v>10</v>
      </c>
      <c r="C7" s="6" t="s">
        <v>386</v>
      </c>
      <c r="E7" s="6" t="s">
        <v>17</v>
      </c>
      <c r="F7" s="6" t="s">
        <v>141</v>
      </c>
      <c r="G7" s="6" t="s">
        <v>21</v>
      </c>
    </row>
    <row r="8" spans="1:9">
      <c r="B8" s="6" t="s">
        <v>12</v>
      </c>
      <c r="C8" s="6" t="s">
        <v>387</v>
      </c>
      <c r="E8" s="6" t="s">
        <v>16</v>
      </c>
      <c r="F8" s="6" t="s">
        <v>237</v>
      </c>
      <c r="G8" s="6" t="s">
        <v>19</v>
      </c>
    </row>
    <row r="9" spans="1:9">
      <c r="B9" s="6" t="s">
        <v>3</v>
      </c>
      <c r="E9" s="6" t="s">
        <v>15</v>
      </c>
      <c r="F9" s="6" t="s">
        <v>217</v>
      </c>
      <c r="G9" s="6" t="s">
        <v>14</v>
      </c>
    </row>
    <row r="10" spans="1:9">
      <c r="B10" s="6" t="s">
        <v>4</v>
      </c>
      <c r="E10" s="6" t="s">
        <v>23</v>
      </c>
      <c r="F10" s="6" t="s">
        <v>71</v>
      </c>
      <c r="G10" s="6" t="s">
        <v>17</v>
      </c>
    </row>
    <row r="11" spans="1:9">
      <c r="B11" s="6" t="s">
        <v>9</v>
      </c>
      <c r="E11" s="6" t="s">
        <v>25</v>
      </c>
      <c r="F11" s="6" t="s">
        <v>138</v>
      </c>
      <c r="G11" s="6" t="s">
        <v>406</v>
      </c>
    </row>
    <row r="12" spans="1:9">
      <c r="B12" s="6" t="s">
        <v>8</v>
      </c>
      <c r="E12" s="6" t="s">
        <v>14</v>
      </c>
      <c r="F12" s="6" t="s">
        <v>189</v>
      </c>
      <c r="G12" s="6" t="s">
        <v>407</v>
      </c>
    </row>
    <row r="13" spans="1:9">
      <c r="B13" s="6" t="s">
        <v>5</v>
      </c>
      <c r="E13" s="6" t="s">
        <v>20</v>
      </c>
      <c r="F13" s="6" t="s">
        <v>146</v>
      </c>
      <c r="G13" s="6" t="s">
        <v>20</v>
      </c>
    </row>
    <row r="14" spans="1:9">
      <c r="E14" s="6" t="s">
        <v>18</v>
      </c>
      <c r="F14" s="6" t="s">
        <v>112</v>
      </c>
      <c r="G14" s="6" t="s">
        <v>13</v>
      </c>
    </row>
    <row r="15" spans="1:9">
      <c r="E15" s="6" t="s">
        <v>19</v>
      </c>
      <c r="F15" s="6" t="s">
        <v>335</v>
      </c>
      <c r="G15" s="6" t="s">
        <v>16</v>
      </c>
    </row>
    <row r="16" spans="1:9">
      <c r="E16" s="6" t="s">
        <v>22</v>
      </c>
      <c r="F16" s="6" t="s">
        <v>347</v>
      </c>
      <c r="G16" s="6" t="s">
        <v>23</v>
      </c>
    </row>
    <row r="17" spans="5:7">
      <c r="E17" s="6" t="s">
        <v>21</v>
      </c>
      <c r="F17" s="6" t="s">
        <v>299</v>
      </c>
      <c r="G17" s="6" t="s">
        <v>20</v>
      </c>
    </row>
    <row r="18" spans="5:7">
      <c r="E18" s="6" t="s">
        <v>24</v>
      </c>
      <c r="F18" s="6" t="s">
        <v>102</v>
      </c>
      <c r="G18" s="6" t="s">
        <v>26</v>
      </c>
    </row>
    <row r="19" spans="5:7">
      <c r="E19" s="6" t="s">
        <v>406</v>
      </c>
      <c r="F19" s="6" t="s">
        <v>98</v>
      </c>
      <c r="G19" s="6" t="s">
        <v>28</v>
      </c>
    </row>
    <row r="20" spans="5:7">
      <c r="E20" s="6" t="s">
        <v>25</v>
      </c>
      <c r="F20" s="6" t="s">
        <v>362</v>
      </c>
      <c r="G20" s="6" t="s">
        <v>25</v>
      </c>
    </row>
    <row r="21" spans="5:7">
      <c r="F21" s="6" t="s">
        <v>408</v>
      </c>
    </row>
    <row r="22" spans="5:7">
      <c r="F22" s="6" t="s">
        <v>104</v>
      </c>
    </row>
    <row r="23" spans="5:7">
      <c r="F23" s="6" t="s">
        <v>111</v>
      </c>
    </row>
    <row r="24" spans="5:7">
      <c r="F24" s="6" t="s">
        <v>216</v>
      </c>
    </row>
    <row r="25" spans="5:7">
      <c r="F25" s="6" t="s">
        <v>95</v>
      </c>
    </row>
    <row r="26" spans="5:7">
      <c r="F26" s="6" t="s">
        <v>409</v>
      </c>
    </row>
    <row r="27" spans="5:7">
      <c r="F27" s="6" t="s">
        <v>308</v>
      </c>
    </row>
    <row r="28" spans="5:7">
      <c r="F28" s="6" t="s">
        <v>200</v>
      </c>
    </row>
    <row r="29" spans="5:7">
      <c r="F29" s="6" t="s">
        <v>144</v>
      </c>
    </row>
    <row r="30" spans="5:7">
      <c r="F30" s="6" t="s">
        <v>174</v>
      </c>
    </row>
    <row r="31" spans="5:7">
      <c r="F31" s="6" t="s">
        <v>191</v>
      </c>
    </row>
    <row r="32" spans="5:7">
      <c r="F32" s="6" t="s">
        <v>110</v>
      </c>
    </row>
    <row r="33" spans="6:6">
      <c r="F33" s="6" t="s">
        <v>163</v>
      </c>
    </row>
    <row r="34" spans="6:6">
      <c r="F34" s="6" t="s">
        <v>105</v>
      </c>
    </row>
    <row r="35" spans="6:6">
      <c r="F35" s="6" t="s">
        <v>293</v>
      </c>
    </row>
    <row r="36" spans="6:6">
      <c r="F36" s="6" t="s">
        <v>188</v>
      </c>
    </row>
    <row r="37" spans="6:6">
      <c r="F37" s="6" t="s">
        <v>182</v>
      </c>
    </row>
    <row r="38" spans="6:6">
      <c r="F38" s="6" t="s">
        <v>318</v>
      </c>
    </row>
    <row r="39" spans="6:6">
      <c r="F39" s="6" t="s">
        <v>410</v>
      </c>
    </row>
    <row r="40" spans="6:6">
      <c r="F40" s="6" t="s">
        <v>317</v>
      </c>
    </row>
    <row r="41" spans="6:6">
      <c r="F41" s="6" t="s">
        <v>365</v>
      </c>
    </row>
    <row r="42" spans="6:6">
      <c r="F42" s="6" t="s">
        <v>213</v>
      </c>
    </row>
    <row r="43" spans="6:6">
      <c r="F43" s="6" t="s">
        <v>312</v>
      </c>
    </row>
    <row r="44" spans="6:6">
      <c r="F44" s="6" t="s">
        <v>205</v>
      </c>
    </row>
    <row r="45" spans="6:6">
      <c r="F45" s="6" t="s">
        <v>172</v>
      </c>
    </row>
    <row r="46" spans="6:6">
      <c r="F46" s="6" t="s">
        <v>226</v>
      </c>
    </row>
    <row r="47" spans="6:6">
      <c r="F47" s="6" t="s">
        <v>350</v>
      </c>
    </row>
    <row r="48" spans="6:6">
      <c r="F48" s="6" t="s">
        <v>282</v>
      </c>
    </row>
    <row r="49" spans="6:6">
      <c r="F49" s="6" t="s">
        <v>118</v>
      </c>
    </row>
    <row r="50" spans="6:6">
      <c r="F50" s="6" t="s">
        <v>357</v>
      </c>
    </row>
    <row r="51" spans="6:6">
      <c r="F51" s="6" t="s">
        <v>288</v>
      </c>
    </row>
    <row r="52" spans="6:6">
      <c r="F52" s="6" t="s">
        <v>151</v>
      </c>
    </row>
    <row r="53" spans="6:6">
      <c r="F53" s="6" t="s">
        <v>233</v>
      </c>
    </row>
    <row r="54" spans="6:6">
      <c r="F54" s="6" t="s">
        <v>238</v>
      </c>
    </row>
    <row r="55" spans="6:6">
      <c r="F55" s="6" t="s">
        <v>359</v>
      </c>
    </row>
    <row r="56" spans="6:6">
      <c r="F56" s="6" t="s">
        <v>57</v>
      </c>
    </row>
    <row r="57" spans="6:6">
      <c r="F57" s="6" t="s">
        <v>148</v>
      </c>
    </row>
    <row r="58" spans="6:6">
      <c r="F58" s="6" t="s">
        <v>337</v>
      </c>
    </row>
    <row r="59" spans="6:6">
      <c r="F59" s="6" t="s">
        <v>143</v>
      </c>
    </row>
    <row r="60" spans="6:6">
      <c r="F60" s="6" t="s">
        <v>197</v>
      </c>
    </row>
    <row r="61" spans="6:6">
      <c r="F61" s="6" t="s">
        <v>234</v>
      </c>
    </row>
    <row r="62" spans="6:6">
      <c r="F62" s="6" t="s">
        <v>278</v>
      </c>
    </row>
    <row r="63" spans="6:6">
      <c r="F63" s="6" t="s">
        <v>246</v>
      </c>
    </row>
    <row r="64" spans="6:6">
      <c r="F64" s="6" t="s">
        <v>332</v>
      </c>
    </row>
    <row r="65" spans="6:6">
      <c r="F65" s="6" t="s">
        <v>411</v>
      </c>
    </row>
    <row r="66" spans="6:6">
      <c r="F66" s="6" t="s">
        <v>186</v>
      </c>
    </row>
    <row r="67" spans="6:6">
      <c r="F67" s="6" t="s">
        <v>133</v>
      </c>
    </row>
    <row r="68" spans="6:6">
      <c r="F68" s="6" t="s">
        <v>84</v>
      </c>
    </row>
    <row r="69" spans="6:6">
      <c r="F69" s="6" t="s">
        <v>48</v>
      </c>
    </row>
    <row r="70" spans="6:6">
      <c r="F70" s="6" t="s">
        <v>165</v>
      </c>
    </row>
    <row r="71" spans="6:6">
      <c r="F71" s="6" t="s">
        <v>412</v>
      </c>
    </row>
    <row r="72" spans="6:6">
      <c r="F72" s="6" t="s">
        <v>271</v>
      </c>
    </row>
    <row r="73" spans="6:6">
      <c r="F73" s="6" t="s">
        <v>81</v>
      </c>
    </row>
    <row r="74" spans="6:6">
      <c r="F74" s="6" t="s">
        <v>321</v>
      </c>
    </row>
    <row r="75" spans="6:6">
      <c r="F75" s="6" t="s">
        <v>338</v>
      </c>
    </row>
    <row r="76" spans="6:6">
      <c r="F76" s="6" t="s">
        <v>77</v>
      </c>
    </row>
    <row r="77" spans="6:6">
      <c r="F77" s="6" t="s">
        <v>167</v>
      </c>
    </row>
    <row r="78" spans="6:6">
      <c r="F78" s="6" t="s">
        <v>276</v>
      </c>
    </row>
    <row r="79" spans="6:6">
      <c r="F79" s="6" t="s">
        <v>171</v>
      </c>
    </row>
    <row r="80" spans="6:6">
      <c r="F80" s="6" t="s">
        <v>183</v>
      </c>
    </row>
    <row r="81" spans="6:6">
      <c r="F81" s="6" t="s">
        <v>413</v>
      </c>
    </row>
    <row r="82" spans="6:6">
      <c r="F82" s="6" t="s">
        <v>245</v>
      </c>
    </row>
    <row r="83" spans="6:6">
      <c r="F83" s="6" t="s">
        <v>193</v>
      </c>
    </row>
    <row r="84" spans="6:6">
      <c r="F84" s="6" t="s">
        <v>114</v>
      </c>
    </row>
    <row r="85" spans="6:6">
      <c r="F85" s="6" t="s">
        <v>63</v>
      </c>
    </row>
    <row r="86" spans="6:6">
      <c r="F86" s="6" t="s">
        <v>76</v>
      </c>
    </row>
    <row r="87" spans="6:6">
      <c r="F87" s="6" t="s">
        <v>113</v>
      </c>
    </row>
    <row r="88" spans="6:6">
      <c r="F88" s="6" t="s">
        <v>195</v>
      </c>
    </row>
    <row r="89" spans="6:6">
      <c r="F89" s="6" t="s">
        <v>225</v>
      </c>
    </row>
    <row r="90" spans="6:6">
      <c r="F90" s="6" t="s">
        <v>263</v>
      </c>
    </row>
    <row r="91" spans="6:6">
      <c r="F91" s="6" t="s">
        <v>119</v>
      </c>
    </row>
    <row r="92" spans="6:6">
      <c r="F92" s="6" t="s">
        <v>58</v>
      </c>
    </row>
    <row r="93" spans="6:6">
      <c r="F93" s="6" t="s">
        <v>80</v>
      </c>
    </row>
    <row r="94" spans="6:6">
      <c r="F94" s="6" t="s">
        <v>121</v>
      </c>
    </row>
    <row r="95" spans="6:6">
      <c r="F95" s="6" t="s">
        <v>170</v>
      </c>
    </row>
    <row r="96" spans="6:6">
      <c r="F96" s="6" t="s">
        <v>164</v>
      </c>
    </row>
    <row r="97" spans="6:6">
      <c r="F97" s="6" t="s">
        <v>74</v>
      </c>
    </row>
    <row r="98" spans="6:6">
      <c r="F98" s="6" t="s">
        <v>132</v>
      </c>
    </row>
    <row r="99" spans="6:6">
      <c r="F99" s="6" t="s">
        <v>180</v>
      </c>
    </row>
    <row r="100" spans="6:6">
      <c r="F100" s="6" t="s">
        <v>140</v>
      </c>
    </row>
    <row r="101" spans="6:6">
      <c r="F101" s="6" t="s">
        <v>414</v>
      </c>
    </row>
    <row r="102" spans="6:6">
      <c r="F102" s="6" t="s">
        <v>78</v>
      </c>
    </row>
    <row r="103" spans="6:6">
      <c r="F103" s="6" t="s">
        <v>184</v>
      </c>
    </row>
    <row r="104" spans="6:6">
      <c r="F104" s="6" t="s">
        <v>292</v>
      </c>
    </row>
    <row r="105" spans="6:6">
      <c r="F105" s="6" t="s">
        <v>224</v>
      </c>
    </row>
    <row r="106" spans="6:6">
      <c r="F106" s="6" t="s">
        <v>324</v>
      </c>
    </row>
    <row r="107" spans="6:6">
      <c r="F107" s="6" t="s">
        <v>224</v>
      </c>
    </row>
    <row r="108" spans="6:6">
      <c r="F108" s="6" t="s">
        <v>304</v>
      </c>
    </row>
    <row r="109" spans="6:6">
      <c r="F109" s="6" t="s">
        <v>56</v>
      </c>
    </row>
    <row r="110" spans="6:6">
      <c r="F110" s="6" t="s">
        <v>142</v>
      </c>
    </row>
    <row r="111" spans="6:6">
      <c r="F111" s="6" t="s">
        <v>367</v>
      </c>
    </row>
    <row r="112" spans="6:6">
      <c r="F112" s="6" t="s">
        <v>277</v>
      </c>
    </row>
    <row r="113" spans="6:6">
      <c r="F113" s="6" t="s">
        <v>64</v>
      </c>
    </row>
    <row r="114" spans="6:6">
      <c r="F114" s="6" t="s">
        <v>301</v>
      </c>
    </row>
    <row r="115" spans="6:6">
      <c r="F115" s="6" t="s">
        <v>123</v>
      </c>
    </row>
    <row r="116" spans="6:6">
      <c r="F116" s="6" t="s">
        <v>204</v>
      </c>
    </row>
    <row r="117" spans="6:6">
      <c r="F117" s="6" t="s">
        <v>212</v>
      </c>
    </row>
    <row r="118" spans="6:6">
      <c r="F118" s="6" t="s">
        <v>363</v>
      </c>
    </row>
    <row r="119" spans="6:6">
      <c r="F119" s="6" t="s">
        <v>244</v>
      </c>
    </row>
    <row r="120" spans="6:6">
      <c r="F120" s="6" t="s">
        <v>207</v>
      </c>
    </row>
    <row r="121" spans="6:6">
      <c r="F121" s="6" t="s">
        <v>415</v>
      </c>
    </row>
    <row r="122" spans="6:6">
      <c r="F122" s="6" t="s">
        <v>267</v>
      </c>
    </row>
    <row r="123" spans="6:6">
      <c r="F123" s="6" t="s">
        <v>303</v>
      </c>
    </row>
    <row r="124" spans="6:6">
      <c r="F124" s="6" t="s">
        <v>345</v>
      </c>
    </row>
    <row r="125" spans="6:6">
      <c r="F125" s="6" t="s">
        <v>73</v>
      </c>
    </row>
    <row r="126" spans="6:6">
      <c r="F126" s="6" t="s">
        <v>336</v>
      </c>
    </row>
    <row r="127" spans="6:6">
      <c r="F127" s="6" t="s">
        <v>330</v>
      </c>
    </row>
    <row r="128" spans="6:6">
      <c r="F128" s="6" t="s">
        <v>235</v>
      </c>
    </row>
    <row r="129" spans="6:6">
      <c r="F129" s="6" t="s">
        <v>315</v>
      </c>
    </row>
    <row r="130" spans="6:6">
      <c r="F130" s="6" t="s">
        <v>230</v>
      </c>
    </row>
    <row r="131" spans="6:6">
      <c r="F131" s="6" t="s">
        <v>313</v>
      </c>
    </row>
    <row r="132" spans="6:6">
      <c r="F132" s="6" t="s">
        <v>93</v>
      </c>
    </row>
    <row r="133" spans="6:6">
      <c r="F133" s="6" t="s">
        <v>322</v>
      </c>
    </row>
    <row r="134" spans="6:6">
      <c r="F134" s="6" t="s">
        <v>283</v>
      </c>
    </row>
    <row r="135" spans="6:6">
      <c r="F135" s="6" t="s">
        <v>295</v>
      </c>
    </row>
    <row r="136" spans="6:6">
      <c r="F136" s="6" t="s">
        <v>294</v>
      </c>
    </row>
    <row r="137" spans="6:6">
      <c r="F137" s="6" t="s">
        <v>223</v>
      </c>
    </row>
    <row r="138" spans="6:6">
      <c r="F138" s="6" t="s">
        <v>136</v>
      </c>
    </row>
    <row r="139" spans="6:6">
      <c r="F139" s="6" t="s">
        <v>139</v>
      </c>
    </row>
    <row r="140" spans="6:6">
      <c r="F140" s="6" t="s">
        <v>329</v>
      </c>
    </row>
    <row r="141" spans="6:6">
      <c r="F141" s="6" t="s">
        <v>361</v>
      </c>
    </row>
    <row r="142" spans="6:6">
      <c r="F142" s="6" t="s">
        <v>242</v>
      </c>
    </row>
    <row r="143" spans="6:6">
      <c r="F143" s="6" t="s">
        <v>243</v>
      </c>
    </row>
    <row r="144" spans="6:6">
      <c r="F144" s="6" t="s">
        <v>236</v>
      </c>
    </row>
    <row r="145" spans="6:6">
      <c r="F145" s="6" t="s">
        <v>327</v>
      </c>
    </row>
    <row r="146" spans="6:6">
      <c r="F146" s="6" t="s">
        <v>208</v>
      </c>
    </row>
    <row r="147" spans="6:6">
      <c r="F147" s="6" t="s">
        <v>310</v>
      </c>
    </row>
    <row r="148" spans="6:6">
      <c r="F148" s="6" t="s">
        <v>221</v>
      </c>
    </row>
    <row r="149" spans="6:6">
      <c r="F149" s="6" t="s">
        <v>126</v>
      </c>
    </row>
    <row r="150" spans="6:6">
      <c r="F150" s="6" t="s">
        <v>157</v>
      </c>
    </row>
    <row r="151" spans="6:6">
      <c r="F151" s="6" t="s">
        <v>134</v>
      </c>
    </row>
    <row r="152" spans="6:6">
      <c r="F152" s="6" t="s">
        <v>109</v>
      </c>
    </row>
    <row r="153" spans="6:6">
      <c r="F153" s="6" t="s">
        <v>65</v>
      </c>
    </row>
    <row r="154" spans="6:6">
      <c r="F154" s="6" t="s">
        <v>316</v>
      </c>
    </row>
    <row r="155" spans="6:6">
      <c r="F155" s="6" t="s">
        <v>261</v>
      </c>
    </row>
    <row r="156" spans="6:6">
      <c r="F156" s="6" t="s">
        <v>254</v>
      </c>
    </row>
    <row r="157" spans="6:6">
      <c r="F157" s="6" t="s">
        <v>416</v>
      </c>
    </row>
    <row r="158" spans="6:6">
      <c r="F158" s="6" t="s">
        <v>259</v>
      </c>
    </row>
    <row r="159" spans="6:6">
      <c r="F159" s="6" t="s">
        <v>342</v>
      </c>
    </row>
    <row r="160" spans="6:6">
      <c r="F160" s="6" t="s">
        <v>66</v>
      </c>
    </row>
    <row r="161" spans="6:6">
      <c r="F161" s="6" t="s">
        <v>120</v>
      </c>
    </row>
    <row r="162" spans="6:6">
      <c r="F162" s="6" t="s">
        <v>287</v>
      </c>
    </row>
    <row r="163" spans="6:6">
      <c r="F163" s="6" t="s">
        <v>231</v>
      </c>
    </row>
    <row r="164" spans="6:6">
      <c r="F164" s="6" t="s">
        <v>214</v>
      </c>
    </row>
    <row r="165" spans="6:6">
      <c r="F165" s="6" t="s">
        <v>251</v>
      </c>
    </row>
    <row r="166" spans="6:6">
      <c r="F166" s="6" t="s">
        <v>249</v>
      </c>
    </row>
    <row r="167" spans="6:6">
      <c r="F167" s="6" t="s">
        <v>326</v>
      </c>
    </row>
    <row r="168" spans="6:6">
      <c r="F168" s="6" t="s">
        <v>417</v>
      </c>
    </row>
    <row r="169" spans="6:6">
      <c r="F169" s="6" t="s">
        <v>319</v>
      </c>
    </row>
    <row r="170" spans="6:6">
      <c r="F170" s="6" t="s">
        <v>229</v>
      </c>
    </row>
    <row r="171" spans="6:6">
      <c r="F171" s="6" t="s">
        <v>320</v>
      </c>
    </row>
    <row r="172" spans="6:6">
      <c r="F172" s="6" t="s">
        <v>209</v>
      </c>
    </row>
    <row r="173" spans="6:6">
      <c r="F173" s="6" t="s">
        <v>360</v>
      </c>
    </row>
    <row r="174" spans="6:6">
      <c r="F174" s="6" t="s">
        <v>334</v>
      </c>
    </row>
    <row r="175" spans="6:6">
      <c r="F175" s="6" t="s">
        <v>239</v>
      </c>
    </row>
    <row r="176" spans="6:6">
      <c r="F176" s="6" t="s">
        <v>228</v>
      </c>
    </row>
    <row r="177" spans="6:6">
      <c r="F177" s="6" t="s">
        <v>255</v>
      </c>
    </row>
    <row r="178" spans="6:6">
      <c r="F178" s="6" t="s">
        <v>232</v>
      </c>
    </row>
    <row r="179" spans="6:6">
      <c r="F179" s="6" t="s">
        <v>115</v>
      </c>
    </row>
    <row r="180" spans="6:6">
      <c r="F180" s="6" t="s">
        <v>173</v>
      </c>
    </row>
    <row r="181" spans="6:6">
      <c r="F181" s="6" t="s">
        <v>156</v>
      </c>
    </row>
    <row r="182" spans="6:6">
      <c r="F182" s="6" t="s">
        <v>83</v>
      </c>
    </row>
    <row r="183" spans="6:6">
      <c r="F183" s="6" t="s">
        <v>124</v>
      </c>
    </row>
    <row r="184" spans="6:6">
      <c r="F184" s="6" t="s">
        <v>215</v>
      </c>
    </row>
    <row r="185" spans="6:6">
      <c r="F185" s="6" t="s">
        <v>206</v>
      </c>
    </row>
    <row r="186" spans="6:6">
      <c r="F186" s="6" t="s">
        <v>339</v>
      </c>
    </row>
    <row r="187" spans="6:6">
      <c r="F187" s="6" t="s">
        <v>265</v>
      </c>
    </row>
    <row r="188" spans="6:6">
      <c r="F188" s="6" t="s">
        <v>253</v>
      </c>
    </row>
    <row r="189" spans="6:6">
      <c r="F189" s="6" t="s">
        <v>55</v>
      </c>
    </row>
    <row r="190" spans="6:6">
      <c r="F190" s="6" t="s">
        <v>211</v>
      </c>
    </row>
    <row r="191" spans="6:6">
      <c r="F191" s="6" t="s">
        <v>86</v>
      </c>
    </row>
    <row r="192" spans="6:6">
      <c r="F192" s="6" t="s">
        <v>179</v>
      </c>
    </row>
    <row r="193" spans="6:6">
      <c r="F193" s="6" t="s">
        <v>344</v>
      </c>
    </row>
    <row r="194" spans="6:6">
      <c r="F194" s="6" t="s">
        <v>340</v>
      </c>
    </row>
    <row r="195" spans="6:6">
      <c r="F195" s="6" t="s">
        <v>311</v>
      </c>
    </row>
    <row r="196" spans="6:6">
      <c r="F196" s="6" t="s">
        <v>291</v>
      </c>
    </row>
    <row r="197" spans="6:6">
      <c r="F197" s="6" t="s">
        <v>130</v>
      </c>
    </row>
    <row r="198" spans="6:6">
      <c r="F198" s="6" t="s">
        <v>116</v>
      </c>
    </row>
    <row r="199" spans="6:6">
      <c r="F199" s="6" t="s">
        <v>297</v>
      </c>
    </row>
    <row r="200" spans="6:6">
      <c r="F200" s="6" t="s">
        <v>286</v>
      </c>
    </row>
    <row r="201" spans="6:6">
      <c r="F201" s="6" t="s">
        <v>307</v>
      </c>
    </row>
    <row r="202" spans="6:6">
      <c r="F202" s="6" t="s">
        <v>70</v>
      </c>
    </row>
    <row r="203" spans="6:6">
      <c r="F203" s="6" t="s">
        <v>62</v>
      </c>
    </row>
    <row r="204" spans="6:6">
      <c r="F204" s="6" t="s">
        <v>90</v>
      </c>
    </row>
    <row r="205" spans="6:6">
      <c r="F205" s="6" t="s">
        <v>202</v>
      </c>
    </row>
    <row r="206" spans="6:6">
      <c r="F206" s="6" t="s">
        <v>168</v>
      </c>
    </row>
    <row r="207" spans="6:6">
      <c r="F207" s="6" t="s">
        <v>158</v>
      </c>
    </row>
    <row r="208" spans="6:6">
      <c r="F208" s="6" t="s">
        <v>137</v>
      </c>
    </row>
    <row r="209" spans="6:6">
      <c r="F209" s="6" t="s">
        <v>252</v>
      </c>
    </row>
    <row r="210" spans="6:6">
      <c r="F210" s="6" t="s">
        <v>325</v>
      </c>
    </row>
    <row r="211" spans="6:6">
      <c r="F211" s="6" t="s">
        <v>269</v>
      </c>
    </row>
    <row r="212" spans="6:6">
      <c r="F212" s="6" t="s">
        <v>241</v>
      </c>
    </row>
    <row r="213" spans="6:6">
      <c r="F213" s="6" t="s">
        <v>418</v>
      </c>
    </row>
    <row r="214" spans="6:6">
      <c r="F214" s="6" t="s">
        <v>99</v>
      </c>
    </row>
    <row r="215" spans="6:6">
      <c r="F215" s="6" t="s">
        <v>341</v>
      </c>
    </row>
    <row r="216" spans="6:6">
      <c r="F216" s="6" t="s">
        <v>266</v>
      </c>
    </row>
    <row r="217" spans="6:6">
      <c r="F217" s="6" t="s">
        <v>88</v>
      </c>
    </row>
    <row r="218" spans="6:6">
      <c r="F218" s="6" t="s">
        <v>240</v>
      </c>
    </row>
    <row r="219" spans="6:6">
      <c r="F219" s="6" t="s">
        <v>92</v>
      </c>
    </row>
    <row r="220" spans="6:6">
      <c r="F220" s="6" t="s">
        <v>150</v>
      </c>
    </row>
    <row r="221" spans="6:6">
      <c r="F221" s="6" t="s">
        <v>419</v>
      </c>
    </row>
    <row r="222" spans="6:6">
      <c r="F222" s="6" t="s">
        <v>302</v>
      </c>
    </row>
    <row r="223" spans="6:6">
      <c r="F223" s="6" t="s">
        <v>420</v>
      </c>
    </row>
    <row r="224" spans="6:6">
      <c r="F224" s="6" t="s">
        <v>67</v>
      </c>
    </row>
    <row r="225" spans="6:6">
      <c r="F225" s="6" t="s">
        <v>127</v>
      </c>
    </row>
    <row r="226" spans="6:6">
      <c r="F226" s="6" t="s">
        <v>155</v>
      </c>
    </row>
    <row r="227" spans="6:6">
      <c r="F227" s="6" t="s">
        <v>135</v>
      </c>
    </row>
    <row r="228" spans="6:6">
      <c r="F228" s="6" t="s">
        <v>314</v>
      </c>
    </row>
    <row r="229" spans="6:6">
      <c r="F229" s="6" t="s">
        <v>250</v>
      </c>
    </row>
    <row r="230" spans="6:6">
      <c r="F230" s="6" t="s">
        <v>273</v>
      </c>
    </row>
    <row r="231" spans="6:6">
      <c r="F231" s="6" t="s">
        <v>257</v>
      </c>
    </row>
    <row r="232" spans="6:6">
      <c r="F232" s="6" t="s">
        <v>82</v>
      </c>
    </row>
    <row r="233" spans="6:6">
      <c r="F233" s="6" t="s">
        <v>122</v>
      </c>
    </row>
    <row r="234" spans="6:6">
      <c r="F234" s="6" t="s">
        <v>296</v>
      </c>
    </row>
    <row r="235" spans="6:6">
      <c r="F235" s="6" t="s">
        <v>280</v>
      </c>
    </row>
    <row r="236" spans="6:6">
      <c r="F236" s="6" t="s">
        <v>260</v>
      </c>
    </row>
    <row r="237" spans="6:6">
      <c r="F237" s="6" t="s">
        <v>421</v>
      </c>
    </row>
    <row r="238" spans="6:6">
      <c r="F238" s="6" t="s">
        <v>96</v>
      </c>
    </row>
    <row r="239" spans="6:6">
      <c r="F239" s="6" t="s">
        <v>199</v>
      </c>
    </row>
    <row r="240" spans="6:6">
      <c r="F240" s="6" t="s">
        <v>348</v>
      </c>
    </row>
    <row r="241" spans="6:6">
      <c r="F241" s="6" t="s">
        <v>176</v>
      </c>
    </row>
    <row r="242" spans="6:6">
      <c r="F242" s="6" t="s">
        <v>125</v>
      </c>
    </row>
    <row r="243" spans="6:6">
      <c r="F243" s="6" t="s">
        <v>422</v>
      </c>
    </row>
    <row r="244" spans="6:6">
      <c r="F244" s="6" t="s">
        <v>79</v>
      </c>
    </row>
    <row r="245" spans="6:6">
      <c r="F245" s="6" t="s">
        <v>128</v>
      </c>
    </row>
    <row r="246" spans="6:6">
      <c r="F246" s="6" t="s">
        <v>353</v>
      </c>
    </row>
    <row r="247" spans="6:6">
      <c r="F247" s="6" t="s">
        <v>198</v>
      </c>
    </row>
    <row r="248" spans="6:6">
      <c r="F248" s="6" t="s">
        <v>364</v>
      </c>
    </row>
    <row r="249" spans="6:6">
      <c r="F249" s="6" t="s">
        <v>59</v>
      </c>
    </row>
    <row r="250" spans="6:6">
      <c r="F250" s="6" t="s">
        <v>284</v>
      </c>
    </row>
    <row r="251" spans="6:6">
      <c r="F251" s="6" t="s">
        <v>101</v>
      </c>
    </row>
    <row r="252" spans="6:6">
      <c r="F252" s="6" t="s">
        <v>328</v>
      </c>
    </row>
    <row r="253" spans="6:6">
      <c r="F253" s="6" t="s">
        <v>94</v>
      </c>
    </row>
    <row r="254" spans="6:6">
      <c r="F254" s="6" t="s">
        <v>270</v>
      </c>
    </row>
    <row r="255" spans="6:6">
      <c r="F255" s="6" t="s">
        <v>333</v>
      </c>
    </row>
    <row r="256" spans="6:6">
      <c r="F256" s="6" t="s">
        <v>355</v>
      </c>
    </row>
    <row r="257" spans="6:6">
      <c r="F257" s="6" t="s">
        <v>75</v>
      </c>
    </row>
    <row r="258" spans="6:6">
      <c r="F258" s="6" t="s">
        <v>281</v>
      </c>
    </row>
    <row r="259" spans="6:6">
      <c r="F259" s="6" t="s">
        <v>352</v>
      </c>
    </row>
    <row r="260" spans="6:6">
      <c r="F260" s="6" t="s">
        <v>256</v>
      </c>
    </row>
    <row r="261" spans="6:6">
      <c r="F261" s="6" t="s">
        <v>298</v>
      </c>
    </row>
    <row r="262" spans="6:6">
      <c r="F262" s="6" t="s">
        <v>268</v>
      </c>
    </row>
    <row r="263" spans="6:6">
      <c r="F263" s="6" t="s">
        <v>181</v>
      </c>
    </row>
    <row r="264" spans="6:6">
      <c r="F264" s="6" t="s">
        <v>100</v>
      </c>
    </row>
    <row r="265" spans="6:6">
      <c r="F265" s="6" t="s">
        <v>61</v>
      </c>
    </row>
    <row r="266" spans="6:6">
      <c r="F266" s="6" t="s">
        <v>423</v>
      </c>
    </row>
    <row r="267" spans="6:6">
      <c r="F267" s="6" t="s">
        <v>285</v>
      </c>
    </row>
    <row r="268" spans="6:6">
      <c r="F268" s="6" t="s">
        <v>69</v>
      </c>
    </row>
    <row r="269" spans="6:6">
      <c r="F269" s="6" t="s">
        <v>262</v>
      </c>
    </row>
    <row r="270" spans="6:6">
      <c r="F270" s="6" t="s">
        <v>258</v>
      </c>
    </row>
    <row r="271" spans="6:6">
      <c r="F271" s="6" t="s">
        <v>147</v>
      </c>
    </row>
    <row r="272" spans="6:6">
      <c r="F272" s="6" t="s">
        <v>210</v>
      </c>
    </row>
    <row r="273" spans="6:6">
      <c r="F273" s="6" t="s">
        <v>152</v>
      </c>
    </row>
    <row r="274" spans="6:6">
      <c r="F274" s="6" t="s">
        <v>247</v>
      </c>
    </row>
    <row r="275" spans="6:6">
      <c r="F275" s="6" t="s">
        <v>117</v>
      </c>
    </row>
    <row r="276" spans="6:6">
      <c r="F276" s="6" t="s">
        <v>351</v>
      </c>
    </row>
    <row r="277" spans="6:6">
      <c r="F277" s="6" t="s">
        <v>106</v>
      </c>
    </row>
    <row r="278" spans="6:6">
      <c r="F278" s="6" t="s">
        <v>68</v>
      </c>
    </row>
    <row r="279" spans="6:6">
      <c r="F279" s="6" t="s">
        <v>290</v>
      </c>
    </row>
    <row r="280" spans="6:6">
      <c r="F280" s="6" t="s">
        <v>60</v>
      </c>
    </row>
    <row r="281" spans="6:6">
      <c r="F281" s="6" t="s">
        <v>145</v>
      </c>
    </row>
    <row r="282" spans="6:6">
      <c r="F282" s="6" t="s">
        <v>331</v>
      </c>
    </row>
    <row r="283" spans="6:6">
      <c r="F283" s="6" t="s">
        <v>275</v>
      </c>
    </row>
    <row r="284" spans="6:6">
      <c r="F284" s="6" t="s">
        <v>175</v>
      </c>
    </row>
    <row r="285" spans="6:6">
      <c r="F285" s="6" t="s">
        <v>274</v>
      </c>
    </row>
    <row r="286" spans="6:6">
      <c r="F286" s="6" t="s">
        <v>300</v>
      </c>
    </row>
    <row r="287" spans="6:6">
      <c r="F287" s="6" t="s">
        <v>89</v>
      </c>
    </row>
    <row r="288" spans="6:6">
      <c r="F288" s="6" t="s">
        <v>103</v>
      </c>
    </row>
    <row r="289" spans="6:6">
      <c r="F289" s="6" t="s">
        <v>107</v>
      </c>
    </row>
    <row r="290" spans="6:6">
      <c r="F290" s="6" t="s">
        <v>185</v>
      </c>
    </row>
    <row r="291" spans="6:6">
      <c r="F291" s="6" t="s">
        <v>218</v>
      </c>
    </row>
    <row r="292" spans="6:6">
      <c r="F292" s="6" t="s">
        <v>219</v>
      </c>
    </row>
    <row r="293" spans="6:6">
      <c r="F293" s="6" t="s">
        <v>162</v>
      </c>
    </row>
    <row r="294" spans="6:6">
      <c r="F294" s="6" t="s">
        <v>160</v>
      </c>
    </row>
    <row r="295" spans="6:6">
      <c r="F295" s="6" t="s">
        <v>149</v>
      </c>
    </row>
    <row r="296" spans="6:6">
      <c r="F296" s="6" t="s">
        <v>201</v>
      </c>
    </row>
    <row r="297" spans="6:6">
      <c r="F297" s="6" t="s">
        <v>194</v>
      </c>
    </row>
    <row r="298" spans="6:6">
      <c r="F298" s="6" t="s">
        <v>346</v>
      </c>
    </row>
    <row r="299" spans="6:6">
      <c r="F299" s="6" t="s">
        <v>306</v>
      </c>
    </row>
    <row r="300" spans="6:6">
      <c r="F300" s="6" t="s">
        <v>358</v>
      </c>
    </row>
    <row r="301" spans="6:6">
      <c r="F301" s="6" t="s">
        <v>248</v>
      </c>
    </row>
    <row r="302" spans="6:6">
      <c r="F302" s="6" t="s">
        <v>131</v>
      </c>
    </row>
    <row r="303" spans="6:6">
      <c r="F303" s="6" t="s">
        <v>220</v>
      </c>
    </row>
    <row r="304" spans="6:6">
      <c r="F304" s="6" t="s">
        <v>87</v>
      </c>
    </row>
    <row r="305" spans="6:6">
      <c r="F305" s="6" t="s">
        <v>227</v>
      </c>
    </row>
    <row r="306" spans="6:6">
      <c r="F306" s="6" t="s">
        <v>289</v>
      </c>
    </row>
    <row r="307" spans="6:6">
      <c r="F307" s="6" t="s">
        <v>91</v>
      </c>
    </row>
    <row r="308" spans="6:6">
      <c r="F308" s="6" t="s">
        <v>424</v>
      </c>
    </row>
    <row r="309" spans="6:6">
      <c r="F309" s="6" t="s">
        <v>97</v>
      </c>
    </row>
    <row r="310" spans="6:6">
      <c r="F310" s="6" t="s">
        <v>85</v>
      </c>
    </row>
    <row r="311" spans="6:6">
      <c r="F311" s="6" t="s">
        <v>323</v>
      </c>
    </row>
    <row r="312" spans="6:6">
      <c r="F312" s="6" t="s">
        <v>222</v>
      </c>
    </row>
    <row r="313" spans="6:6">
      <c r="F313" s="6" t="s">
        <v>305</v>
      </c>
    </row>
    <row r="314" spans="6:6">
      <c r="F314" s="6" t="s">
        <v>264</v>
      </c>
    </row>
    <row r="315" spans="6:6">
      <c r="F315" s="6" t="s">
        <v>192</v>
      </c>
    </row>
    <row r="316" spans="6:6">
      <c r="F316" s="6" t="s">
        <v>154</v>
      </c>
    </row>
    <row r="317" spans="6:6">
      <c r="F317" s="6" t="s">
        <v>178</v>
      </c>
    </row>
    <row r="318" spans="6:6">
      <c r="F318" s="6" t="s">
        <v>159</v>
      </c>
    </row>
    <row r="319" spans="6:6">
      <c r="F319" s="6" t="s">
        <v>196</v>
      </c>
    </row>
    <row r="320" spans="6:6">
      <c r="F320" s="6" t="s">
        <v>153</v>
      </c>
    </row>
    <row r="321" spans="6:6">
      <c r="F321" s="6" t="s">
        <v>129</v>
      </c>
    </row>
    <row r="322" spans="6:6">
      <c r="F322" s="6" t="s">
        <v>166</v>
      </c>
    </row>
    <row r="323" spans="6:6">
      <c r="F323" s="6" t="s">
        <v>161</v>
      </c>
    </row>
    <row r="324" spans="6:6">
      <c r="F324" s="6" t="s">
        <v>349</v>
      </c>
    </row>
    <row r="325" spans="6:6">
      <c r="F325" s="6" t="s">
        <v>366</v>
      </c>
    </row>
    <row r="326" spans="6:6">
      <c r="F326" s="6" t="s">
        <v>190</v>
      </c>
    </row>
    <row r="327" spans="6:6">
      <c r="F327" s="6" t="s">
        <v>177</v>
      </c>
    </row>
    <row r="328" spans="6:6">
      <c r="F328" s="6" t="s">
        <v>272</v>
      </c>
    </row>
    <row r="329" spans="6:6">
      <c r="F329" s="6" t="s">
        <v>169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7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5703125" defaultRowHeight="15.75" customHeight="1"/>
  <cols>
    <col min="1" max="1" width="19.85546875" customWidth="1"/>
    <col min="2" max="2" width="13" customWidth="1"/>
    <col min="4" max="4" width="9.28515625" customWidth="1"/>
    <col min="6" max="6" width="9.28515625" customWidth="1"/>
    <col min="7" max="12" width="7.7109375" customWidth="1"/>
    <col min="13" max="14" width="8.140625" customWidth="1"/>
  </cols>
  <sheetData>
    <row r="1" spans="1:24" ht="28.5" customHeight="1">
      <c r="A1" s="7" t="s">
        <v>8</v>
      </c>
      <c r="B1" s="8"/>
      <c r="C1" s="8" t="s">
        <v>30</v>
      </c>
      <c r="D1" s="8"/>
      <c r="E1" s="8"/>
      <c r="F1" s="8"/>
      <c r="G1" s="8"/>
      <c r="H1" s="8"/>
      <c r="I1" s="8"/>
      <c r="K1" s="9"/>
      <c r="L1" s="27" t="s">
        <v>31</v>
      </c>
      <c r="M1" s="28"/>
      <c r="N1" s="2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6" t="str">
        <f ca="1">IFERROR(__xludf.DUMMYFUNCTION("SORT(FILTER(Nimekiri,(ALA=A1)),13,False,9,fALSE)"),"Jekaterina Tihhomirova")</f>
        <v>Jekaterina Tihhomirova</v>
      </c>
      <c r="B3" s="6" t="str">
        <f ca="1">IFERROR(__xludf.DUMMYFUNCTION("""COMPUTED_VALUE"""),"Alutaguse")</f>
        <v>Alutaguse</v>
      </c>
      <c r="C3" s="6" t="str">
        <f ca="1">IFERROR(__xludf.DUMMYFUNCTION("""COMPUTED_VALUE"""),"N")</f>
        <v>N</v>
      </c>
      <c r="D3" s="6" t="str">
        <f ca="1">IFERROR(__xludf.DUMMYFUNCTION("""COMPUTED_VALUE"""),"300m H1")</f>
        <v>300m H1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IFERROR(__xludf.DUMMYFUNCTION("""COMPUTED_VALUE"""),88)</f>
        <v>88</v>
      </c>
      <c r="H3" s="6">
        <f ca="1">IFERROR(__xludf.DUMMYFUNCTION("""COMPUTED_VALUE"""),86)</f>
        <v>86</v>
      </c>
      <c r="I3" s="6">
        <f ca="1">IFERROR(__xludf.DUMMYFUNCTION("""COMPUTED_VALUE"""),88)</f>
        <v>88</v>
      </c>
      <c r="J3" s="6"/>
      <c r="K3" s="6"/>
      <c r="L3" s="6"/>
      <c r="M3" s="6">
        <f ca="1">IFERROR(__xludf.DUMMYFUNCTION("""COMPUTED_VALUE"""),262)</f>
        <v>262</v>
      </c>
      <c r="N3" s="6">
        <f ca="1">IFERROR(__xludf.DUMMYFUNCTION("""COMPUTED_VALUE"""),262)</f>
        <v>262</v>
      </c>
    </row>
    <row r="4" spans="1:24" ht="12.75">
      <c r="A4" s="6" t="str">
        <f ca="1">IFERROR(__xludf.DUMMYFUNCTION("""COMPUTED_VALUE"""),"Siim Jeeberg")</f>
        <v>Siim Jeeberg</v>
      </c>
      <c r="B4" s="6" t="str">
        <f ca="1">IFERROR(__xludf.DUMMYFUNCTION("""COMPUTED_VALUE"""),"Lääne")</f>
        <v>Lääne</v>
      </c>
      <c r="C4" s="6" t="str">
        <f ca="1">IFERROR(__xludf.DUMMYFUNCTION("""COMPUTED_VALUE"""),"M")</f>
        <v>M</v>
      </c>
      <c r="D4" s="6" t="str">
        <f ca="1">IFERROR(__xludf.DUMMYFUNCTION("""COMPUTED_VALUE"""),"300m H1")</f>
        <v>300m H1</v>
      </c>
      <c r="E4" s="6" t="str">
        <f ca="1">IFERROR(__xludf.DUMMYFUNCTION("""COMPUTED_VALUE"""),"Võistkond")</f>
        <v>Võistkond</v>
      </c>
      <c r="F4" s="6" t="str">
        <f ca="1">IFERROR(__xludf.DUMMYFUNCTION("""COMPUTED_VALUE"""),"10.09.23")</f>
        <v>10.09.23</v>
      </c>
      <c r="G4" s="6">
        <f ca="1">IFERROR(__xludf.DUMMYFUNCTION("""COMPUTED_VALUE"""),87)</f>
        <v>87</v>
      </c>
      <c r="H4" s="6">
        <f ca="1">IFERROR(__xludf.DUMMYFUNCTION("""COMPUTED_VALUE"""),90)</f>
        <v>90</v>
      </c>
      <c r="I4" s="6">
        <f ca="1">IFERROR(__xludf.DUMMYFUNCTION("""COMPUTED_VALUE"""),85)</f>
        <v>85</v>
      </c>
      <c r="J4" s="6"/>
      <c r="K4" s="6"/>
      <c r="L4" s="6"/>
      <c r="M4" s="6">
        <f ca="1">IFERROR(__xludf.DUMMYFUNCTION("""COMPUTED_VALUE"""),262)</f>
        <v>262</v>
      </c>
      <c r="N4" s="6">
        <f ca="1">IFERROR(__xludf.DUMMYFUNCTION("""COMPUTED_VALUE"""),262)</f>
        <v>262</v>
      </c>
    </row>
    <row r="5" spans="1:24" ht="12.75">
      <c r="A5" s="6" t="str">
        <f ca="1">IFERROR(__xludf.DUMMYFUNCTION("""COMPUTED_VALUE"""),"Aili Popp")</f>
        <v>Aili Popp</v>
      </c>
      <c r="B5" s="6" t="str">
        <f ca="1">IFERROR(__xludf.DUMMYFUNCTION("""COMPUTED_VALUE"""),"Valgamaa")</f>
        <v>Valgamaa</v>
      </c>
      <c r="C5" s="6" t="str">
        <f ca="1">IFERROR(__xludf.DUMMYFUNCTION("""COMPUTED_VALUE"""),"N")</f>
        <v>N</v>
      </c>
      <c r="D5" s="6" t="str">
        <f ca="1">IFERROR(__xludf.DUMMYFUNCTION("""COMPUTED_VALUE"""),"300m H1")</f>
        <v>300m H1</v>
      </c>
      <c r="E5" s="6" t="str">
        <f ca="1">IFERROR(__xludf.DUMMYFUNCTION("""COMPUTED_VALUE"""),"Võistkond")</f>
        <v>Võistkond</v>
      </c>
      <c r="F5" s="6" t="str">
        <f ca="1">IFERROR(__xludf.DUMMYFUNCTION("""COMPUTED_VALUE"""),"09.09.23")</f>
        <v>09.09.23</v>
      </c>
      <c r="G5" s="6">
        <f ca="1">IFERROR(__xludf.DUMMYFUNCTION("""COMPUTED_VALUE"""),88)</f>
        <v>88</v>
      </c>
      <c r="H5" s="6">
        <f ca="1">IFERROR(__xludf.DUMMYFUNCTION("""COMPUTED_VALUE"""),89)</f>
        <v>89</v>
      </c>
      <c r="I5" s="6">
        <f ca="1">IFERROR(__xludf.DUMMYFUNCTION("""COMPUTED_VALUE"""),80)</f>
        <v>80</v>
      </c>
      <c r="J5" s="6"/>
      <c r="K5" s="6"/>
      <c r="L5" s="6"/>
      <c r="M5" s="6">
        <f ca="1">IFERROR(__xludf.DUMMYFUNCTION("""COMPUTED_VALUE"""),257)</f>
        <v>257</v>
      </c>
      <c r="N5" s="6">
        <f ca="1">IFERROR(__xludf.DUMMYFUNCTION("""COMPUTED_VALUE"""),257)</f>
        <v>257</v>
      </c>
    </row>
    <row r="6" spans="1:24" ht="12.75">
      <c r="A6" s="6" t="str">
        <f ca="1">IFERROR(__xludf.DUMMYFUNCTION("""COMPUTED_VALUE"""),"Riho Ühtegi")</f>
        <v>Riho Ühtegi</v>
      </c>
      <c r="B6" s="6" t="str">
        <f ca="1">IFERROR(__xludf.DUMMYFUNCTION("""COMPUTED_VALUE"""),"KL peastaap")</f>
        <v>KL peastaap</v>
      </c>
      <c r="C6" s="6" t="str">
        <f ca="1">IFERROR(__xludf.DUMMYFUNCTION("""COMPUTED_VALUE"""),"M")</f>
        <v>M</v>
      </c>
      <c r="D6" s="6" t="str">
        <f ca="1">IFERROR(__xludf.DUMMYFUNCTION("""COMPUTED_VALUE"""),"300m H1")</f>
        <v>300m H1</v>
      </c>
      <c r="E6" s="6" t="str">
        <f ca="1">IFERROR(__xludf.DUMMYFUNCTION("""COMPUTED_VALUE"""),"Võistkond")</f>
        <v>Võistkond</v>
      </c>
      <c r="F6" s="6" t="str">
        <f ca="1">IFERROR(__xludf.DUMMYFUNCTION("""COMPUTED_VALUE"""),"09.09.23")</f>
        <v>09.09.23</v>
      </c>
      <c r="G6" s="6">
        <f ca="1">IFERROR(__xludf.DUMMYFUNCTION("""COMPUTED_VALUE"""),82)</f>
        <v>82</v>
      </c>
      <c r="H6" s="6">
        <f ca="1">IFERROR(__xludf.DUMMYFUNCTION("""COMPUTED_VALUE"""),90)</f>
        <v>90</v>
      </c>
      <c r="I6" s="6">
        <f ca="1">IFERROR(__xludf.DUMMYFUNCTION("""COMPUTED_VALUE"""),80)</f>
        <v>80</v>
      </c>
      <c r="J6" s="6"/>
      <c r="K6" s="6"/>
      <c r="L6" s="6"/>
      <c r="M6" s="6">
        <f ca="1">IFERROR(__xludf.DUMMYFUNCTION("""COMPUTED_VALUE"""),252)</f>
        <v>252</v>
      </c>
      <c r="N6" s="6">
        <f ca="1">IFERROR(__xludf.DUMMYFUNCTION("""COMPUTED_VALUE"""),252)</f>
        <v>252</v>
      </c>
    </row>
    <row r="7" spans="1:24" ht="12.75">
      <c r="A7" s="6" t="str">
        <f ca="1">IFERROR(__xludf.DUMMYFUNCTION("""COMPUTED_VALUE"""),"Tanel Oja")</f>
        <v>Tanel Oja</v>
      </c>
      <c r="B7" s="6" t="str">
        <f ca="1">IFERROR(__xludf.DUMMYFUNCTION("""COMPUTED_VALUE"""),"Alutaguse")</f>
        <v>Alutaguse</v>
      </c>
      <c r="C7" s="6" t="str">
        <f ca="1">IFERROR(__xludf.DUMMYFUNCTION("""COMPUTED_VALUE"""),"M")</f>
        <v>M</v>
      </c>
      <c r="D7" s="6" t="str">
        <f ca="1">IFERROR(__xludf.DUMMYFUNCTION("""COMPUTED_VALUE"""),"300m H1")</f>
        <v>300m H1</v>
      </c>
      <c r="E7" s="6" t="str">
        <f ca="1">IFERROR(__xludf.DUMMYFUNCTION("""COMPUTED_VALUE"""),"Võistkond")</f>
        <v>Võistkond</v>
      </c>
      <c r="F7" s="6" t="str">
        <f ca="1">IFERROR(__xludf.DUMMYFUNCTION("""COMPUTED_VALUE"""),"09.09.23")</f>
        <v>09.09.23</v>
      </c>
      <c r="G7" s="6">
        <f ca="1">IFERROR(__xludf.DUMMYFUNCTION("""COMPUTED_VALUE"""),83)</f>
        <v>83</v>
      </c>
      <c r="H7" s="6">
        <f ca="1">IFERROR(__xludf.DUMMYFUNCTION("""COMPUTED_VALUE"""),79)</f>
        <v>79</v>
      </c>
      <c r="I7" s="6">
        <f ca="1">IFERROR(__xludf.DUMMYFUNCTION("""COMPUTED_VALUE"""),86)</f>
        <v>86</v>
      </c>
      <c r="J7" s="6"/>
      <c r="K7" s="6"/>
      <c r="L7" s="6"/>
      <c r="M7" s="6">
        <f ca="1">IFERROR(__xludf.DUMMYFUNCTION("""COMPUTED_VALUE"""),248)</f>
        <v>248</v>
      </c>
      <c r="N7" s="6">
        <f ca="1">IFERROR(__xludf.DUMMYFUNCTION("""COMPUTED_VALUE"""),248)</f>
        <v>248</v>
      </c>
    </row>
    <row r="8" spans="1:24" ht="12.75">
      <c r="A8" s="6" t="str">
        <f ca="1">IFERROR(__xludf.DUMMYFUNCTION("""COMPUTED_VALUE"""),"Toomas Luman")</f>
        <v>Toomas Luman</v>
      </c>
      <c r="B8" s="6" t="str">
        <f ca="1">IFERROR(__xludf.DUMMYFUNCTION("""COMPUTED_VALUE"""),"Tallinn")</f>
        <v>Tallinn</v>
      </c>
      <c r="C8" s="6" t="str">
        <f ca="1">IFERROR(__xludf.DUMMYFUNCTION("""COMPUTED_VALUE"""),"M")</f>
        <v>M</v>
      </c>
      <c r="D8" s="6" t="str">
        <f ca="1">IFERROR(__xludf.DUMMYFUNCTION("""COMPUTED_VALUE"""),"300m H1")</f>
        <v>300m H1</v>
      </c>
      <c r="E8" s="6" t="str">
        <f ca="1">IFERROR(__xludf.DUMMYFUNCTION("""COMPUTED_VALUE"""),"Võistkond")</f>
        <v>Võistkond</v>
      </c>
      <c r="F8" s="6" t="str">
        <f ca="1">IFERROR(__xludf.DUMMYFUNCTION("""COMPUTED_VALUE"""),"09.09.23")</f>
        <v>09.09.23</v>
      </c>
      <c r="G8" s="6">
        <f ca="1">IFERROR(__xludf.DUMMYFUNCTION("""COMPUTED_VALUE"""),81)</f>
        <v>81</v>
      </c>
      <c r="H8" s="6">
        <f ca="1">IFERROR(__xludf.DUMMYFUNCTION("""COMPUTED_VALUE"""),80)</f>
        <v>80</v>
      </c>
      <c r="I8" s="6">
        <f ca="1">IFERROR(__xludf.DUMMYFUNCTION("""COMPUTED_VALUE"""),86)</f>
        <v>86</v>
      </c>
      <c r="J8" s="6"/>
      <c r="K8" s="6"/>
      <c r="L8" s="6"/>
      <c r="M8" s="6">
        <f ca="1">IFERROR(__xludf.DUMMYFUNCTION("""COMPUTED_VALUE"""),247)</f>
        <v>247</v>
      </c>
      <c r="N8" s="6">
        <f ca="1">IFERROR(__xludf.DUMMYFUNCTION("""COMPUTED_VALUE"""),247)</f>
        <v>247</v>
      </c>
    </row>
    <row r="9" spans="1:24" ht="12.75">
      <c r="A9" s="6" t="str">
        <f ca="1">IFERROR(__xludf.DUMMYFUNCTION("""COMPUTED_VALUE"""),"Kersti Kaare")</f>
        <v>Kersti Kaare</v>
      </c>
      <c r="B9" s="6" t="str">
        <f ca="1">IFERROR(__xludf.DUMMYFUNCTION("""COMPUTED_VALUE"""),"KL peastaap")</f>
        <v>KL peastaap</v>
      </c>
      <c r="C9" s="6" t="str">
        <f ca="1">IFERROR(__xludf.DUMMYFUNCTION("""COMPUTED_VALUE"""),"N")</f>
        <v>N</v>
      </c>
      <c r="D9" s="6" t="str">
        <f ca="1">IFERROR(__xludf.DUMMYFUNCTION("""COMPUTED_VALUE"""),"300m H1")</f>
        <v>300m H1</v>
      </c>
      <c r="E9" s="6" t="str">
        <f ca="1">IFERROR(__xludf.DUMMYFUNCTION("""COMPUTED_VALUE"""),"Võistkond")</f>
        <v>Võistkond</v>
      </c>
      <c r="F9" s="6" t="str">
        <f ca="1">IFERROR(__xludf.DUMMYFUNCTION("""COMPUTED_VALUE"""),"09.09.23")</f>
        <v>09.09.23</v>
      </c>
      <c r="G9" s="6">
        <f ca="1">IFERROR(__xludf.DUMMYFUNCTION("""COMPUTED_VALUE"""),84)</f>
        <v>84</v>
      </c>
      <c r="H9" s="6">
        <f ca="1">IFERROR(__xludf.DUMMYFUNCTION("""COMPUTED_VALUE"""),81)</f>
        <v>81</v>
      </c>
      <c r="I9" s="6">
        <f ca="1">IFERROR(__xludf.DUMMYFUNCTION("""COMPUTED_VALUE"""),81)</f>
        <v>81</v>
      </c>
      <c r="J9" s="6"/>
      <c r="K9" s="6"/>
      <c r="L9" s="6"/>
      <c r="M9" s="6">
        <f ca="1">IFERROR(__xludf.DUMMYFUNCTION("""COMPUTED_VALUE"""),246)</f>
        <v>246</v>
      </c>
      <c r="N9" s="6">
        <f ca="1">IFERROR(__xludf.DUMMYFUNCTION("""COMPUTED_VALUE"""),246)</f>
        <v>246</v>
      </c>
    </row>
    <row r="10" spans="1:24" ht="12.75">
      <c r="A10" s="6" t="str">
        <f ca="1">IFERROR(__xludf.DUMMYFUNCTION("""COMPUTED_VALUE"""),"Rain Jano")</f>
        <v>Rain Jano</v>
      </c>
      <c r="B10" s="6" t="str">
        <f ca="1">IFERROR(__xludf.DUMMYFUNCTION("""COMPUTED_VALUE"""),"KL peastaap")</f>
        <v>KL peastaap</v>
      </c>
      <c r="C10" s="6" t="str">
        <f ca="1">IFERROR(__xludf.DUMMYFUNCTION("""COMPUTED_VALUE"""),"M")</f>
        <v>M</v>
      </c>
      <c r="D10" s="6" t="str">
        <f ca="1">IFERROR(__xludf.DUMMYFUNCTION("""COMPUTED_VALUE"""),"300m H1")</f>
        <v>300m H1</v>
      </c>
      <c r="E10" s="6" t="str">
        <f ca="1">IFERROR(__xludf.DUMMYFUNCTION("""COMPUTED_VALUE"""),"Võistkond")</f>
        <v>Võistkond</v>
      </c>
      <c r="F10" s="6" t="str">
        <f ca="1">IFERROR(__xludf.DUMMYFUNCTION("""COMPUTED_VALUE"""),"10.09.23")</f>
        <v>10.09.23</v>
      </c>
      <c r="G10" s="6">
        <f ca="1">IFERROR(__xludf.DUMMYFUNCTION("""COMPUTED_VALUE"""),83)</f>
        <v>83</v>
      </c>
      <c r="H10" s="6">
        <f ca="1">IFERROR(__xludf.DUMMYFUNCTION("""COMPUTED_VALUE"""),79)</f>
        <v>79</v>
      </c>
      <c r="I10" s="6">
        <f ca="1">IFERROR(__xludf.DUMMYFUNCTION("""COMPUTED_VALUE"""),82)</f>
        <v>82</v>
      </c>
      <c r="J10" s="6"/>
      <c r="K10" s="6"/>
      <c r="L10" s="6"/>
      <c r="M10" s="6">
        <f ca="1">IFERROR(__xludf.DUMMYFUNCTION("""COMPUTED_VALUE"""),244)</f>
        <v>244</v>
      </c>
      <c r="N10" s="6">
        <f ca="1">IFERROR(__xludf.DUMMYFUNCTION("""COMPUTED_VALUE"""),244)</f>
        <v>244</v>
      </c>
    </row>
    <row r="11" spans="1:24" ht="12.75">
      <c r="A11" s="6" t="str">
        <f ca="1">IFERROR(__xludf.DUMMYFUNCTION("""COMPUTED_VALUE"""),"Tambet Leinbock")</f>
        <v>Tambet Leinbock</v>
      </c>
      <c r="B11" s="6" t="str">
        <f ca="1">IFERROR(__xludf.DUMMYFUNCTION("""COMPUTED_VALUE"""),"Alutaguse")</f>
        <v>Alutaguse</v>
      </c>
      <c r="C11" s="6" t="str">
        <f ca="1">IFERROR(__xludf.DUMMYFUNCTION("""COMPUTED_VALUE"""),"M")</f>
        <v>M</v>
      </c>
      <c r="D11" s="6" t="str">
        <f ca="1">IFERROR(__xludf.DUMMYFUNCTION("""COMPUTED_VALUE"""),"300m H1")</f>
        <v>300m H1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IFERROR(__xludf.DUMMYFUNCTION("""COMPUTED_VALUE"""),81)</f>
        <v>81</v>
      </c>
      <c r="H11" s="6">
        <f ca="1">IFERROR(__xludf.DUMMYFUNCTION("""COMPUTED_VALUE"""),81)</f>
        <v>81</v>
      </c>
      <c r="I11" s="6">
        <f ca="1">IFERROR(__xludf.DUMMYFUNCTION("""COMPUTED_VALUE"""),81)</f>
        <v>81</v>
      </c>
      <c r="J11" s="6"/>
      <c r="K11" s="6"/>
      <c r="L11" s="6"/>
      <c r="M11" s="6">
        <f ca="1">IFERROR(__xludf.DUMMYFUNCTION("""COMPUTED_VALUE"""),243)</f>
        <v>243</v>
      </c>
      <c r="N11" s="6">
        <f ca="1">IFERROR(__xludf.DUMMYFUNCTION("""COMPUTED_VALUE"""),243)</f>
        <v>243</v>
      </c>
    </row>
    <row r="12" spans="1:24" ht="12.75">
      <c r="A12" s="6" t="str">
        <f ca="1">IFERROR(__xludf.DUMMYFUNCTION("""COMPUTED_VALUE"""),"Janis Aarne")</f>
        <v>Janis Aarne</v>
      </c>
      <c r="B12" s="6" t="str">
        <f ca="1">IFERROR(__xludf.DUMMYFUNCTION("""COMPUTED_VALUE"""),"Tallinn")</f>
        <v>Tallinn</v>
      </c>
      <c r="C12" s="6" t="str">
        <f ca="1">IFERROR(__xludf.DUMMYFUNCTION("""COMPUTED_VALUE"""),"M")</f>
        <v>M</v>
      </c>
      <c r="D12" s="6" t="str">
        <f ca="1">IFERROR(__xludf.DUMMYFUNCTION("""COMPUTED_VALUE"""),"300m H1")</f>
        <v>300m H1</v>
      </c>
      <c r="E12" s="6" t="str">
        <f ca="1">IFERROR(__xludf.DUMMYFUNCTION("""COMPUTED_VALUE"""),"Individuaalne")</f>
        <v>Individuaalne</v>
      </c>
      <c r="F12" s="6" t="str">
        <f ca="1">IFERROR(__xludf.DUMMYFUNCTION("""COMPUTED_VALUE"""),"09.09.23")</f>
        <v>09.09.23</v>
      </c>
      <c r="G12" s="6">
        <f ca="1">IFERROR(__xludf.DUMMYFUNCTION("""COMPUTED_VALUE"""),89)</f>
        <v>89</v>
      </c>
      <c r="H12" s="6">
        <f ca="1">IFERROR(__xludf.DUMMYFUNCTION("""COMPUTED_VALUE"""),74)</f>
        <v>74</v>
      </c>
      <c r="I12" s="6">
        <f ca="1">IFERROR(__xludf.DUMMYFUNCTION("""COMPUTED_VALUE"""),80)</f>
        <v>80</v>
      </c>
      <c r="J12" s="6"/>
      <c r="K12" s="6"/>
      <c r="L12" s="6"/>
      <c r="M12" s="6">
        <f ca="1">IFERROR(__xludf.DUMMYFUNCTION("""COMPUTED_VALUE"""),243)</f>
        <v>243</v>
      </c>
      <c r="N12" s="6"/>
    </row>
    <row r="13" spans="1:24" ht="12.75">
      <c r="A13" s="6" t="str">
        <f ca="1">IFERROR(__xludf.DUMMYFUNCTION("""COMPUTED_VALUE"""),"Kenneth Koosma")</f>
        <v>Kenneth Koosma</v>
      </c>
      <c r="B13" s="6" t="str">
        <f ca="1">IFERROR(__xludf.DUMMYFUNCTION("""COMPUTED_VALUE"""),"Rapla")</f>
        <v>Rapla</v>
      </c>
      <c r="C13" s="6" t="str">
        <f ca="1">IFERROR(__xludf.DUMMYFUNCTION("""COMPUTED_VALUE"""),"M")</f>
        <v>M</v>
      </c>
      <c r="D13" s="6" t="str">
        <f ca="1">IFERROR(__xludf.DUMMYFUNCTION("""COMPUTED_VALUE"""),"300m H1")</f>
        <v>300m H1</v>
      </c>
      <c r="E13" s="6" t="str">
        <f ca="1">IFERROR(__xludf.DUMMYFUNCTION("""COMPUTED_VALUE"""),"Individuaalne")</f>
        <v>Individuaalne</v>
      </c>
      <c r="F13" s="6" t="str">
        <f ca="1">IFERROR(__xludf.DUMMYFUNCTION("""COMPUTED_VALUE"""),"10.09.23")</f>
        <v>10.09.23</v>
      </c>
      <c r="G13" s="6">
        <f ca="1">IFERROR(__xludf.DUMMYFUNCTION("""COMPUTED_VALUE"""),74)</f>
        <v>74</v>
      </c>
      <c r="H13" s="6">
        <f ca="1">IFERROR(__xludf.DUMMYFUNCTION("""COMPUTED_VALUE"""),83)</f>
        <v>83</v>
      </c>
      <c r="I13" s="6">
        <f ca="1">IFERROR(__xludf.DUMMYFUNCTION("""COMPUTED_VALUE"""),85)</f>
        <v>85</v>
      </c>
      <c r="J13" s="6"/>
      <c r="K13" s="6"/>
      <c r="L13" s="6"/>
      <c r="M13" s="6">
        <f ca="1">IFERROR(__xludf.DUMMYFUNCTION("""COMPUTED_VALUE"""),242)</f>
        <v>242</v>
      </c>
      <c r="N13" s="6"/>
    </row>
    <row r="14" spans="1:24" ht="12.75">
      <c r="A14" s="6" t="str">
        <f ca="1">IFERROR(__xludf.DUMMYFUNCTION("""COMPUTED_VALUE"""),"Taivo Eylandt")</f>
        <v>Taivo Eylandt</v>
      </c>
      <c r="B14" s="6" t="str">
        <f ca="1">IFERROR(__xludf.DUMMYFUNCTION("""COMPUTED_VALUE"""),"Viru")</f>
        <v>Viru</v>
      </c>
      <c r="C14" s="6" t="str">
        <f ca="1">IFERROR(__xludf.DUMMYFUNCTION("""COMPUTED_VALUE"""),"M")</f>
        <v>M</v>
      </c>
      <c r="D14" s="6" t="str">
        <f ca="1">IFERROR(__xludf.DUMMYFUNCTION("""COMPUTED_VALUE"""),"300m H1")</f>
        <v>300m H1</v>
      </c>
      <c r="E14" s="6" t="str">
        <f ca="1">IFERROR(__xludf.DUMMYFUNCTION("""COMPUTED_VALUE"""),"Võistkond")</f>
        <v>Võistkond</v>
      </c>
      <c r="F14" s="6" t="str">
        <f ca="1">IFERROR(__xludf.DUMMYFUNCTION("""COMPUTED_VALUE"""),"10.09.23")</f>
        <v>10.09.23</v>
      </c>
      <c r="G14" s="6">
        <f ca="1">IFERROR(__xludf.DUMMYFUNCTION("""COMPUTED_VALUE"""),81)</f>
        <v>81</v>
      </c>
      <c r="H14" s="6">
        <f ca="1">IFERROR(__xludf.DUMMYFUNCTION("""COMPUTED_VALUE"""),78)</f>
        <v>78</v>
      </c>
      <c r="I14" s="6">
        <f ca="1">IFERROR(__xludf.DUMMYFUNCTION("""COMPUTED_VALUE"""),83)</f>
        <v>83</v>
      </c>
      <c r="J14" s="6"/>
      <c r="K14" s="6"/>
      <c r="L14" s="6"/>
      <c r="M14" s="6">
        <f ca="1">IFERROR(__xludf.DUMMYFUNCTION("""COMPUTED_VALUE"""),242)</f>
        <v>242</v>
      </c>
      <c r="N14" s="6">
        <f ca="1">IFERROR(__xludf.DUMMYFUNCTION("""COMPUTED_VALUE"""),242)</f>
        <v>242</v>
      </c>
    </row>
    <row r="15" spans="1:24" ht="12.75">
      <c r="A15" s="6" t="str">
        <f ca="1">IFERROR(__xludf.DUMMYFUNCTION("""COMPUTED_VALUE"""),"Jaanus Roos")</f>
        <v>Jaanus Roos</v>
      </c>
      <c r="B15" s="6" t="str">
        <f ca="1">IFERROR(__xludf.DUMMYFUNCTION("""COMPUTED_VALUE"""),"Tartu")</f>
        <v>Tartu</v>
      </c>
      <c r="C15" s="6" t="str">
        <f ca="1">IFERROR(__xludf.DUMMYFUNCTION("""COMPUTED_VALUE"""),"M")</f>
        <v>M</v>
      </c>
      <c r="D15" s="6" t="str">
        <f ca="1">IFERROR(__xludf.DUMMYFUNCTION("""COMPUTED_VALUE"""),"300m H1")</f>
        <v>300m H1</v>
      </c>
      <c r="E15" s="6" t="str">
        <f ca="1">IFERROR(__xludf.DUMMYFUNCTION("""COMPUTED_VALUE"""),"Võistkond")</f>
        <v>Võistkond</v>
      </c>
      <c r="F15" s="6" t="str">
        <f ca="1">IFERROR(__xludf.DUMMYFUNCTION("""COMPUTED_VALUE"""),"10.09.23")</f>
        <v>10.09.23</v>
      </c>
      <c r="G15" s="6">
        <f ca="1">IFERROR(__xludf.DUMMYFUNCTION("""COMPUTED_VALUE"""),76)</f>
        <v>76</v>
      </c>
      <c r="H15" s="6">
        <f ca="1">IFERROR(__xludf.DUMMYFUNCTION("""COMPUTED_VALUE"""),81)</f>
        <v>81</v>
      </c>
      <c r="I15" s="6">
        <f ca="1">IFERROR(__xludf.DUMMYFUNCTION("""COMPUTED_VALUE"""),84)</f>
        <v>84</v>
      </c>
      <c r="J15" s="6"/>
      <c r="K15" s="6"/>
      <c r="L15" s="6"/>
      <c r="M15" s="6">
        <f ca="1">IFERROR(__xludf.DUMMYFUNCTION("""COMPUTED_VALUE"""),241)</f>
        <v>241</v>
      </c>
      <c r="N15" s="6">
        <f ca="1">IFERROR(__xludf.DUMMYFUNCTION("""COMPUTED_VALUE"""),241)</f>
        <v>241</v>
      </c>
    </row>
    <row r="16" spans="1:24" ht="12.75">
      <c r="A16" s="6" t="str">
        <f ca="1">IFERROR(__xludf.DUMMYFUNCTION("""COMPUTED_VALUE"""),"Lembit Mitt")</f>
        <v>Lembit Mitt</v>
      </c>
      <c r="B16" s="6" t="str">
        <f ca="1">IFERROR(__xludf.DUMMYFUNCTION("""COMPUTED_VALUE"""),"Tallinn")</f>
        <v>Tallinn</v>
      </c>
      <c r="C16" s="6" t="str">
        <f ca="1">IFERROR(__xludf.DUMMYFUNCTION("""COMPUTED_VALUE"""),"M")</f>
        <v>M</v>
      </c>
      <c r="D16" s="6" t="str">
        <f ca="1">IFERROR(__xludf.DUMMYFUNCTION("""COMPUTED_VALUE"""),"300m H1")</f>
        <v>300m H1</v>
      </c>
      <c r="E16" s="6" t="str">
        <f ca="1">IFERROR(__xludf.DUMMYFUNCTION("""COMPUTED_VALUE"""),"Võistkond")</f>
        <v>Võistkond</v>
      </c>
      <c r="F16" s="6" t="str">
        <f ca="1">IFERROR(__xludf.DUMMYFUNCTION("""COMPUTED_VALUE"""),"09.09.23")</f>
        <v>09.09.23</v>
      </c>
      <c r="G16" s="6">
        <f ca="1">IFERROR(__xludf.DUMMYFUNCTION("""COMPUTED_VALUE"""),74)</f>
        <v>74</v>
      </c>
      <c r="H16" s="6">
        <f ca="1">IFERROR(__xludf.DUMMYFUNCTION("""COMPUTED_VALUE"""),82)</f>
        <v>82</v>
      </c>
      <c r="I16" s="6">
        <f ca="1">IFERROR(__xludf.DUMMYFUNCTION("""COMPUTED_VALUE"""),82)</f>
        <v>82</v>
      </c>
      <c r="J16" s="6"/>
      <c r="K16" s="6"/>
      <c r="L16" s="6"/>
      <c r="M16" s="6">
        <f ca="1">IFERROR(__xludf.DUMMYFUNCTION("""COMPUTED_VALUE"""),238)</f>
        <v>238</v>
      </c>
      <c r="N16" s="6">
        <f ca="1">IFERROR(__xludf.DUMMYFUNCTION("""COMPUTED_VALUE"""),238)</f>
        <v>238</v>
      </c>
    </row>
    <row r="17" spans="1:14" ht="12.75">
      <c r="A17" s="6" t="str">
        <f ca="1">IFERROR(__xludf.DUMMYFUNCTION("""COMPUTED_VALUE"""),"Anne Kull")</f>
        <v>Anne Kull</v>
      </c>
      <c r="B17" s="6" t="str">
        <f ca="1">IFERROR(__xludf.DUMMYFUNCTION("""COMPUTED_VALUE"""),"Lääne")</f>
        <v>Lääne</v>
      </c>
      <c r="C17" s="6" t="str">
        <f ca="1">IFERROR(__xludf.DUMMYFUNCTION("""COMPUTED_VALUE"""),"N")</f>
        <v>N</v>
      </c>
      <c r="D17" s="6" t="str">
        <f ca="1">IFERROR(__xludf.DUMMYFUNCTION("""COMPUTED_VALUE"""),"300m H1")</f>
        <v>300m H1</v>
      </c>
      <c r="E17" s="6" t="str">
        <f ca="1">IFERROR(__xludf.DUMMYFUNCTION("""COMPUTED_VALUE"""),"Võistkond")</f>
        <v>Võistkond</v>
      </c>
      <c r="F17" s="6" t="str">
        <f ca="1">IFERROR(__xludf.DUMMYFUNCTION("""COMPUTED_VALUE"""),"10.09.23")</f>
        <v>10.09.23</v>
      </c>
      <c r="G17" s="6">
        <f ca="1">IFERROR(__xludf.DUMMYFUNCTION("""COMPUTED_VALUE"""),79)</f>
        <v>79</v>
      </c>
      <c r="H17" s="6">
        <f ca="1">IFERROR(__xludf.DUMMYFUNCTION("""COMPUTED_VALUE"""),84)</f>
        <v>84</v>
      </c>
      <c r="I17" s="6">
        <f ca="1">IFERROR(__xludf.DUMMYFUNCTION("""COMPUTED_VALUE"""),74)</f>
        <v>74</v>
      </c>
      <c r="J17" s="6"/>
      <c r="K17" s="6"/>
      <c r="L17" s="6"/>
      <c r="M17" s="6">
        <f ca="1">IFERROR(__xludf.DUMMYFUNCTION("""COMPUTED_VALUE"""),237)</f>
        <v>237</v>
      </c>
      <c r="N17" s="6">
        <f ca="1">IFERROR(__xludf.DUMMYFUNCTION("""COMPUTED_VALUE"""),237)</f>
        <v>237</v>
      </c>
    </row>
    <row r="18" spans="1:14" ht="12.75">
      <c r="A18" s="6" t="str">
        <f ca="1">IFERROR(__xludf.DUMMYFUNCTION("""COMPUTED_VALUE"""),"Rando Köster")</f>
        <v>Rando Köster</v>
      </c>
      <c r="B18" s="6" t="str">
        <f ca="1">IFERROR(__xludf.DUMMYFUNCTION("""COMPUTED_VALUE"""),"Pärnumaa")</f>
        <v>Pärnumaa</v>
      </c>
      <c r="C18" s="6" t="str">
        <f ca="1">IFERROR(__xludf.DUMMYFUNCTION("""COMPUTED_VALUE"""),"M")</f>
        <v>M</v>
      </c>
      <c r="D18" s="6" t="str">
        <f ca="1">IFERROR(__xludf.DUMMYFUNCTION("""COMPUTED_VALUE"""),"300m H1")</f>
        <v>300m H1</v>
      </c>
      <c r="E18" s="6" t="str">
        <f ca="1">IFERROR(__xludf.DUMMYFUNCTION("""COMPUTED_VALUE"""),"Võistkond")</f>
        <v>Võistkond</v>
      </c>
      <c r="F18" s="6" t="str">
        <f ca="1">IFERROR(__xludf.DUMMYFUNCTION("""COMPUTED_VALUE"""),"09.09.23")</f>
        <v>09.09.23</v>
      </c>
      <c r="G18" s="6">
        <f ca="1">IFERROR(__xludf.DUMMYFUNCTION("""COMPUTED_VALUE"""),74)</f>
        <v>74</v>
      </c>
      <c r="H18" s="6">
        <f ca="1">IFERROR(__xludf.DUMMYFUNCTION("""COMPUTED_VALUE"""),83)</f>
        <v>83</v>
      </c>
      <c r="I18" s="6">
        <f ca="1">IFERROR(__xludf.DUMMYFUNCTION("""COMPUTED_VALUE"""),79)</f>
        <v>79</v>
      </c>
      <c r="J18" s="6"/>
      <c r="K18" s="6"/>
      <c r="L18" s="6"/>
      <c r="M18" s="6">
        <f ca="1">IFERROR(__xludf.DUMMYFUNCTION("""COMPUTED_VALUE"""),236)</f>
        <v>236</v>
      </c>
      <c r="N18" s="6">
        <f ca="1">IFERROR(__xludf.DUMMYFUNCTION("""COMPUTED_VALUE"""),236)</f>
        <v>236</v>
      </c>
    </row>
    <row r="19" spans="1:14" ht="12.75">
      <c r="A19" s="6" t="str">
        <f ca="1">IFERROR(__xludf.DUMMYFUNCTION("""COMPUTED_VALUE"""),"Toomas Niinemäe")</f>
        <v>Toomas Niinemäe</v>
      </c>
      <c r="B19" s="6" t="str">
        <f ca="1">IFERROR(__xludf.DUMMYFUNCTION("""COMPUTED_VALUE"""),"Tallinn")</f>
        <v>Tallinn</v>
      </c>
      <c r="C19" s="6" t="str">
        <f ca="1">IFERROR(__xludf.DUMMYFUNCTION("""COMPUTED_VALUE"""),"M")</f>
        <v>M</v>
      </c>
      <c r="D19" s="6" t="str">
        <f ca="1">IFERROR(__xludf.DUMMYFUNCTION("""COMPUTED_VALUE"""),"300m H1")</f>
        <v>300m H1</v>
      </c>
      <c r="E19" s="6" t="str">
        <f ca="1">IFERROR(__xludf.DUMMYFUNCTION("""COMPUTED_VALUE"""),"Individuaalne")</f>
        <v>Individuaalne</v>
      </c>
      <c r="F19" s="6" t="str">
        <f ca="1">IFERROR(__xludf.DUMMYFUNCTION("""COMPUTED_VALUE"""),"09.09.23")</f>
        <v>09.09.23</v>
      </c>
      <c r="G19" s="6">
        <f ca="1">IFERROR(__xludf.DUMMYFUNCTION("""COMPUTED_VALUE"""),78)</f>
        <v>78</v>
      </c>
      <c r="H19" s="6">
        <f ca="1">IFERROR(__xludf.DUMMYFUNCTION("""COMPUTED_VALUE"""),74)</f>
        <v>74</v>
      </c>
      <c r="I19" s="6">
        <f ca="1">IFERROR(__xludf.DUMMYFUNCTION("""COMPUTED_VALUE"""),83)</f>
        <v>83</v>
      </c>
      <c r="J19" s="6"/>
      <c r="K19" s="6"/>
      <c r="L19" s="6"/>
      <c r="M19" s="6">
        <f ca="1">IFERROR(__xludf.DUMMYFUNCTION("""COMPUTED_VALUE"""),235)</f>
        <v>235</v>
      </c>
      <c r="N19" s="6"/>
    </row>
    <row r="20" spans="1:14" ht="12.75">
      <c r="A20" s="6" t="str">
        <f ca="1">IFERROR(__xludf.DUMMYFUNCTION("""COMPUTED_VALUE"""),"Indrek Reismann")</f>
        <v>Indrek Reismann</v>
      </c>
      <c r="B20" s="6" t="str">
        <f ca="1">IFERROR(__xludf.DUMMYFUNCTION("""COMPUTED_VALUE"""),"Järva")</f>
        <v>Järva</v>
      </c>
      <c r="C20" s="6" t="str">
        <f ca="1">IFERROR(__xludf.DUMMYFUNCTION("""COMPUTED_VALUE"""),"M")</f>
        <v>M</v>
      </c>
      <c r="D20" s="6" t="str">
        <f ca="1">IFERROR(__xludf.DUMMYFUNCTION("""COMPUTED_VALUE"""),"300m H1")</f>
        <v>300m H1</v>
      </c>
      <c r="E20" s="6" t="str">
        <f ca="1">IFERROR(__xludf.DUMMYFUNCTION("""COMPUTED_VALUE"""),"Võistkond")</f>
        <v>Võistkond</v>
      </c>
      <c r="F20" s="6" t="str">
        <f ca="1">IFERROR(__xludf.DUMMYFUNCTION("""COMPUTED_VALUE"""),"09.09.23")</f>
        <v>09.09.23</v>
      </c>
      <c r="G20" s="6">
        <f ca="1">IFERROR(__xludf.DUMMYFUNCTION("""COMPUTED_VALUE"""),80)</f>
        <v>80</v>
      </c>
      <c r="H20" s="6">
        <f ca="1">IFERROR(__xludf.DUMMYFUNCTION("""COMPUTED_VALUE"""),73)</f>
        <v>73</v>
      </c>
      <c r="I20" s="6">
        <f ca="1">IFERROR(__xludf.DUMMYFUNCTION("""COMPUTED_VALUE"""),82)</f>
        <v>82</v>
      </c>
      <c r="J20" s="6"/>
      <c r="K20" s="6"/>
      <c r="L20" s="6"/>
      <c r="M20" s="6">
        <f ca="1">IFERROR(__xludf.DUMMYFUNCTION("""COMPUTED_VALUE"""),235)</f>
        <v>235</v>
      </c>
      <c r="N20" s="6">
        <f ca="1">IFERROR(__xludf.DUMMYFUNCTION("""COMPUTED_VALUE"""),235)</f>
        <v>235</v>
      </c>
    </row>
    <row r="21" spans="1:14" ht="12.75">
      <c r="A21" s="6" t="str">
        <f ca="1">IFERROR(__xludf.DUMMYFUNCTION("""COMPUTED_VALUE"""),"Priit Avarmaa")</f>
        <v>Priit Avarmaa</v>
      </c>
      <c r="B21" s="6" t="str">
        <f ca="1">IFERROR(__xludf.DUMMYFUNCTION("""COMPUTED_VALUE"""),"Pärnumaa")</f>
        <v>Pärnumaa</v>
      </c>
      <c r="C21" s="6" t="str">
        <f ca="1">IFERROR(__xludf.DUMMYFUNCTION("""COMPUTED_VALUE"""),"M")</f>
        <v>M</v>
      </c>
      <c r="D21" s="6" t="str">
        <f ca="1">IFERROR(__xludf.DUMMYFUNCTION("""COMPUTED_VALUE"""),"300m H1")</f>
        <v>300m H1</v>
      </c>
      <c r="E21" s="6" t="str">
        <f ca="1">IFERROR(__xludf.DUMMYFUNCTION("""COMPUTED_VALUE"""),"Võistkond")</f>
        <v>Võistkond</v>
      </c>
      <c r="F21" s="6" t="str">
        <f ca="1">IFERROR(__xludf.DUMMYFUNCTION("""COMPUTED_VALUE"""),"09.09.23")</f>
        <v>09.09.23</v>
      </c>
      <c r="G21" s="6">
        <f ca="1">IFERROR(__xludf.DUMMYFUNCTION("""COMPUTED_VALUE"""),74)</f>
        <v>74</v>
      </c>
      <c r="H21" s="6">
        <f ca="1">IFERROR(__xludf.DUMMYFUNCTION("""COMPUTED_VALUE"""),81)</f>
        <v>81</v>
      </c>
      <c r="I21" s="6">
        <f ca="1">IFERROR(__xludf.DUMMYFUNCTION("""COMPUTED_VALUE"""),80)</f>
        <v>80</v>
      </c>
      <c r="J21" s="6"/>
      <c r="K21" s="6"/>
      <c r="L21" s="6"/>
      <c r="M21" s="6">
        <f ca="1">IFERROR(__xludf.DUMMYFUNCTION("""COMPUTED_VALUE"""),235)</f>
        <v>235</v>
      </c>
      <c r="N21" s="6">
        <f ca="1">IFERROR(__xludf.DUMMYFUNCTION("""COMPUTED_VALUE"""),235)</f>
        <v>235</v>
      </c>
    </row>
    <row r="22" spans="1:14" ht="12.75">
      <c r="A22" s="6" t="str">
        <f ca="1">IFERROR(__xludf.DUMMYFUNCTION("""COMPUTED_VALUE"""),"Andres Välli")</f>
        <v>Andres Välli</v>
      </c>
      <c r="B22" s="6" t="str">
        <f ca="1">IFERROR(__xludf.DUMMYFUNCTION("""COMPUTED_VALUE"""),"Järva")</f>
        <v>Järva</v>
      </c>
      <c r="C22" s="6" t="str">
        <f ca="1">IFERROR(__xludf.DUMMYFUNCTION("""COMPUTED_VALUE"""),"M")</f>
        <v>M</v>
      </c>
      <c r="D22" s="6" t="str">
        <f ca="1">IFERROR(__xludf.DUMMYFUNCTION("""COMPUTED_VALUE"""),"300m H1")</f>
        <v>300m H1</v>
      </c>
      <c r="E22" s="6" t="str">
        <f ca="1">IFERROR(__xludf.DUMMYFUNCTION("""COMPUTED_VALUE"""),"Võistkond")</f>
        <v>Võistkond</v>
      </c>
      <c r="F22" s="6" t="str">
        <f ca="1">IFERROR(__xludf.DUMMYFUNCTION("""COMPUTED_VALUE"""),"09.09.23")</f>
        <v>09.09.23</v>
      </c>
      <c r="G22" s="6">
        <f ca="1">IFERROR(__xludf.DUMMYFUNCTION("""COMPUTED_VALUE"""),80)</f>
        <v>80</v>
      </c>
      <c r="H22" s="6">
        <f ca="1">IFERROR(__xludf.DUMMYFUNCTION("""COMPUTED_VALUE"""),76)</f>
        <v>76</v>
      </c>
      <c r="I22" s="6">
        <f ca="1">IFERROR(__xludf.DUMMYFUNCTION("""COMPUTED_VALUE"""),79)</f>
        <v>79</v>
      </c>
      <c r="J22" s="6"/>
      <c r="K22" s="6"/>
      <c r="L22" s="6"/>
      <c r="M22" s="6">
        <f ca="1">IFERROR(__xludf.DUMMYFUNCTION("""COMPUTED_VALUE"""),235)</f>
        <v>235</v>
      </c>
      <c r="N22" s="6">
        <f ca="1">IFERROR(__xludf.DUMMYFUNCTION("""COMPUTED_VALUE"""),235)</f>
        <v>235</v>
      </c>
    </row>
    <row r="23" spans="1:14" ht="12.75">
      <c r="A23" s="6" t="str">
        <f ca="1">IFERROR(__xludf.DUMMYFUNCTION("""COMPUTED_VALUE"""),"Juss Leinbock")</f>
        <v>Juss Leinbock</v>
      </c>
      <c r="B23" s="6" t="str">
        <f ca="1">IFERROR(__xludf.DUMMYFUNCTION("""COMPUTED_VALUE"""),"Alutaguse")</f>
        <v>Alutaguse</v>
      </c>
      <c r="C23" s="6" t="str">
        <f ca="1">IFERROR(__xludf.DUMMYFUNCTION("""COMPUTED_VALUE"""),"M")</f>
        <v>M</v>
      </c>
      <c r="D23" s="6" t="str">
        <f ca="1">IFERROR(__xludf.DUMMYFUNCTION("""COMPUTED_VALUE"""),"300m H1")</f>
        <v>300m H1</v>
      </c>
      <c r="E23" s="6" t="str">
        <f ca="1">IFERROR(__xludf.DUMMYFUNCTION("""COMPUTED_VALUE"""),"Individuaalne")</f>
        <v>Individuaalne</v>
      </c>
      <c r="F23" s="6" t="str">
        <f ca="1">IFERROR(__xludf.DUMMYFUNCTION("""COMPUTED_VALUE"""),"09.09.23")</f>
        <v>09.09.23</v>
      </c>
      <c r="G23" s="6">
        <f ca="1">IFERROR(__xludf.DUMMYFUNCTION("""COMPUTED_VALUE"""),77)</f>
        <v>77</v>
      </c>
      <c r="H23" s="6">
        <f ca="1">IFERROR(__xludf.DUMMYFUNCTION("""COMPUTED_VALUE"""),75)</f>
        <v>75</v>
      </c>
      <c r="I23" s="6">
        <f ca="1">IFERROR(__xludf.DUMMYFUNCTION("""COMPUTED_VALUE"""),82)</f>
        <v>82</v>
      </c>
      <c r="J23" s="6"/>
      <c r="K23" s="6"/>
      <c r="L23" s="6"/>
      <c r="M23" s="6">
        <f ca="1">IFERROR(__xludf.DUMMYFUNCTION("""COMPUTED_VALUE"""),234)</f>
        <v>234</v>
      </c>
      <c r="N23" s="6"/>
    </row>
    <row r="24" spans="1:14" ht="12.75">
      <c r="A24" s="6" t="str">
        <f ca="1">IFERROR(__xludf.DUMMYFUNCTION("""COMPUTED_VALUE"""),"Heino Piirsalu")</f>
        <v>Heino Piirsalu</v>
      </c>
      <c r="B24" s="6" t="str">
        <f ca="1">IFERROR(__xludf.DUMMYFUNCTION("""COMPUTED_VALUE"""),"Tallinn")</f>
        <v>Tallinn</v>
      </c>
      <c r="C24" s="6" t="str">
        <f ca="1">IFERROR(__xludf.DUMMYFUNCTION("""COMPUTED_VALUE"""),"M")</f>
        <v>M</v>
      </c>
      <c r="D24" s="6" t="str">
        <f ca="1">IFERROR(__xludf.DUMMYFUNCTION("""COMPUTED_VALUE"""),"300m H1")</f>
        <v>300m H1</v>
      </c>
      <c r="E24" s="6" t="str">
        <f ca="1">IFERROR(__xludf.DUMMYFUNCTION("""COMPUTED_VALUE"""),"Individuaalne")</f>
        <v>Individuaalne</v>
      </c>
      <c r="F24" s="6" t="str">
        <f ca="1">IFERROR(__xludf.DUMMYFUNCTION("""COMPUTED_VALUE"""),"09.09.23")</f>
        <v>09.09.23</v>
      </c>
      <c r="G24" s="6">
        <f ca="1">IFERROR(__xludf.DUMMYFUNCTION("""COMPUTED_VALUE"""),78)</f>
        <v>78</v>
      </c>
      <c r="H24" s="6">
        <f ca="1">IFERROR(__xludf.DUMMYFUNCTION("""COMPUTED_VALUE"""),78)</f>
        <v>78</v>
      </c>
      <c r="I24" s="6">
        <f ca="1">IFERROR(__xludf.DUMMYFUNCTION("""COMPUTED_VALUE"""),78)</f>
        <v>78</v>
      </c>
      <c r="J24" s="6"/>
      <c r="K24" s="6"/>
      <c r="L24" s="6"/>
      <c r="M24" s="6">
        <f ca="1">IFERROR(__xludf.DUMMYFUNCTION("""COMPUTED_VALUE"""),234)</f>
        <v>234</v>
      </c>
      <c r="N24" s="6"/>
    </row>
    <row r="25" spans="1:14" ht="12.75">
      <c r="A25" s="6" t="str">
        <f ca="1">IFERROR(__xludf.DUMMYFUNCTION("""COMPUTED_VALUE"""),"Toomas Taimre")</f>
        <v>Toomas Taimre</v>
      </c>
      <c r="B25" s="6" t="str">
        <f ca="1">IFERROR(__xludf.DUMMYFUNCTION("""COMPUTED_VALUE"""),"Sakala")</f>
        <v>Sakala</v>
      </c>
      <c r="C25" s="6" t="str">
        <f ca="1">IFERROR(__xludf.DUMMYFUNCTION("""COMPUTED_VALUE"""),"M")</f>
        <v>M</v>
      </c>
      <c r="D25" s="6" t="str">
        <f ca="1">IFERROR(__xludf.DUMMYFUNCTION("""COMPUTED_VALUE"""),"300m H1")</f>
        <v>300m H1</v>
      </c>
      <c r="E25" s="6" t="str">
        <f ca="1">IFERROR(__xludf.DUMMYFUNCTION("""COMPUTED_VALUE"""),"Võistkond")</f>
        <v>Võistkond</v>
      </c>
      <c r="F25" s="6" t="str">
        <f ca="1">IFERROR(__xludf.DUMMYFUNCTION("""COMPUTED_VALUE"""),"10.09.23")</f>
        <v>10.09.23</v>
      </c>
      <c r="G25" s="6">
        <f ca="1">IFERROR(__xludf.DUMMYFUNCTION("""COMPUTED_VALUE"""),73)</f>
        <v>73</v>
      </c>
      <c r="H25" s="6">
        <f ca="1">IFERROR(__xludf.DUMMYFUNCTION("""COMPUTED_VALUE"""),72)</f>
        <v>72</v>
      </c>
      <c r="I25" s="6">
        <f ca="1">IFERROR(__xludf.DUMMYFUNCTION("""COMPUTED_VALUE"""),83)</f>
        <v>83</v>
      </c>
      <c r="J25" s="6"/>
      <c r="K25" s="6"/>
      <c r="L25" s="6"/>
      <c r="M25" s="6">
        <f ca="1">IFERROR(__xludf.DUMMYFUNCTION("""COMPUTED_VALUE"""),228)</f>
        <v>228</v>
      </c>
      <c r="N25" s="6">
        <f ca="1">IFERROR(__xludf.DUMMYFUNCTION("""COMPUTED_VALUE"""),228)</f>
        <v>228</v>
      </c>
    </row>
    <row r="26" spans="1:14" ht="12.75">
      <c r="A26" s="6" t="str">
        <f ca="1">IFERROR(__xludf.DUMMYFUNCTION("""COMPUTED_VALUE"""),"Aivar Liivrand")</f>
        <v>Aivar Liivrand</v>
      </c>
      <c r="B26" s="6" t="str">
        <f ca="1">IFERROR(__xludf.DUMMYFUNCTION("""COMPUTED_VALUE"""),"Harju")</f>
        <v>Harju</v>
      </c>
      <c r="C26" s="6" t="str">
        <f ca="1">IFERROR(__xludf.DUMMYFUNCTION("""COMPUTED_VALUE"""),"M")</f>
        <v>M</v>
      </c>
      <c r="D26" s="6" t="str">
        <f ca="1">IFERROR(__xludf.DUMMYFUNCTION("""COMPUTED_VALUE"""),"300m H1")</f>
        <v>300m H1</v>
      </c>
      <c r="E26" s="6" t="str">
        <f ca="1">IFERROR(__xludf.DUMMYFUNCTION("""COMPUTED_VALUE"""),"Võistkond")</f>
        <v>Võistkond</v>
      </c>
      <c r="F26" s="6" t="str">
        <f ca="1">IFERROR(__xludf.DUMMYFUNCTION("""COMPUTED_VALUE"""),"10.09.23")</f>
        <v>10.09.23</v>
      </c>
      <c r="G26" s="6">
        <f ca="1">IFERROR(__xludf.DUMMYFUNCTION("""COMPUTED_VALUE"""),75)</f>
        <v>75</v>
      </c>
      <c r="H26" s="6">
        <f ca="1">IFERROR(__xludf.DUMMYFUNCTION("""COMPUTED_VALUE"""),76)</f>
        <v>76</v>
      </c>
      <c r="I26" s="6">
        <f ca="1">IFERROR(__xludf.DUMMYFUNCTION("""COMPUTED_VALUE"""),77)</f>
        <v>77</v>
      </c>
      <c r="J26" s="6"/>
      <c r="K26" s="6"/>
      <c r="L26" s="6"/>
      <c r="M26" s="6">
        <f ca="1">IFERROR(__xludf.DUMMYFUNCTION("""COMPUTED_VALUE"""),228)</f>
        <v>228</v>
      </c>
      <c r="N26" s="6">
        <f ca="1">IFERROR(__xludf.DUMMYFUNCTION("""COMPUTED_VALUE"""),228)</f>
        <v>228</v>
      </c>
    </row>
    <row r="27" spans="1:14" ht="12.75">
      <c r="A27" s="6" t="str">
        <f ca="1">IFERROR(__xludf.DUMMYFUNCTION("""COMPUTED_VALUE"""),"Ivar Tallerman")</f>
        <v>Ivar Tallerman</v>
      </c>
      <c r="B27" s="6" t="str">
        <f ca="1">IFERROR(__xludf.DUMMYFUNCTION("""COMPUTED_VALUE"""),"Alutaguse")</f>
        <v>Alutaguse</v>
      </c>
      <c r="C27" s="6" t="str">
        <f ca="1">IFERROR(__xludf.DUMMYFUNCTION("""COMPUTED_VALUE"""),"M")</f>
        <v>M</v>
      </c>
      <c r="D27" s="6" t="str">
        <f ca="1">IFERROR(__xludf.DUMMYFUNCTION("""COMPUTED_VALUE"""),"300m H1")</f>
        <v>300m H1</v>
      </c>
      <c r="E27" s="6" t="str">
        <f ca="1">IFERROR(__xludf.DUMMYFUNCTION("""COMPUTED_VALUE"""),"Individuaalne")</f>
        <v>Individuaalne</v>
      </c>
      <c r="F27" s="6" t="str">
        <f ca="1">IFERROR(__xludf.DUMMYFUNCTION("""COMPUTED_VALUE"""),"09.09.23")</f>
        <v>09.09.23</v>
      </c>
      <c r="G27" s="6">
        <f ca="1">IFERROR(__xludf.DUMMYFUNCTION("""COMPUTED_VALUE"""),75)</f>
        <v>75</v>
      </c>
      <c r="H27" s="6">
        <f ca="1">IFERROR(__xludf.DUMMYFUNCTION("""COMPUTED_VALUE"""),67)</f>
        <v>67</v>
      </c>
      <c r="I27" s="6">
        <f ca="1">IFERROR(__xludf.DUMMYFUNCTION("""COMPUTED_VALUE"""),85)</f>
        <v>85</v>
      </c>
      <c r="J27" s="6"/>
      <c r="K27" s="6"/>
      <c r="L27" s="6"/>
      <c r="M27" s="6">
        <f ca="1">IFERROR(__xludf.DUMMYFUNCTION("""COMPUTED_VALUE"""),227)</f>
        <v>227</v>
      </c>
      <c r="N27" s="6"/>
    </row>
    <row r="28" spans="1:14" ht="12.75">
      <c r="A28" s="6" t="str">
        <f ca="1">IFERROR(__xludf.DUMMYFUNCTION("""COMPUTED_VALUE"""),"Margus Grauberg")</f>
        <v>Margus Grauberg</v>
      </c>
      <c r="B28" s="6" t="str">
        <f ca="1">IFERROR(__xludf.DUMMYFUNCTION("""COMPUTED_VALUE"""),"Alutaguse")</f>
        <v>Alutaguse</v>
      </c>
      <c r="C28" s="6" t="str">
        <f ca="1">IFERROR(__xludf.DUMMYFUNCTION("""COMPUTED_VALUE"""),"M")</f>
        <v>M</v>
      </c>
      <c r="D28" s="6" t="str">
        <f ca="1">IFERROR(__xludf.DUMMYFUNCTION("""COMPUTED_VALUE"""),"300m H1")</f>
        <v>300m H1</v>
      </c>
      <c r="E28" s="6" t="str">
        <f ca="1">IFERROR(__xludf.DUMMYFUNCTION("""COMPUTED_VALUE"""),"Individuaalne")</f>
        <v>Individuaalne</v>
      </c>
      <c r="F28" s="6" t="str">
        <f ca="1">IFERROR(__xludf.DUMMYFUNCTION("""COMPUTED_VALUE"""),"09.09.23")</f>
        <v>09.09.23</v>
      </c>
      <c r="G28" s="6">
        <f ca="1">IFERROR(__xludf.DUMMYFUNCTION("""COMPUTED_VALUE"""),78)</f>
        <v>78</v>
      </c>
      <c r="H28" s="6">
        <f ca="1">IFERROR(__xludf.DUMMYFUNCTION("""COMPUTED_VALUE"""),74)</f>
        <v>74</v>
      </c>
      <c r="I28" s="6">
        <f ca="1">IFERROR(__xludf.DUMMYFUNCTION("""COMPUTED_VALUE"""),71)</f>
        <v>71</v>
      </c>
      <c r="J28" s="6"/>
      <c r="K28" s="6"/>
      <c r="L28" s="6"/>
      <c r="M28" s="6">
        <f ca="1">IFERROR(__xludf.DUMMYFUNCTION("""COMPUTED_VALUE"""),223)</f>
        <v>223</v>
      </c>
      <c r="N28" s="6"/>
    </row>
    <row r="29" spans="1:14" ht="12.75">
      <c r="A29" s="6" t="str">
        <f ca="1">IFERROR(__xludf.DUMMYFUNCTION("""COMPUTED_VALUE"""),"Margus Purlau")</f>
        <v>Margus Purlau</v>
      </c>
      <c r="B29" s="6" t="str">
        <f ca="1">IFERROR(__xludf.DUMMYFUNCTION("""COMPUTED_VALUE"""),"KL peastaap")</f>
        <v>KL peastaap</v>
      </c>
      <c r="C29" s="6" t="str">
        <f ca="1">IFERROR(__xludf.DUMMYFUNCTION("""COMPUTED_VALUE"""),"M")</f>
        <v>M</v>
      </c>
      <c r="D29" s="6" t="str">
        <f ca="1">IFERROR(__xludf.DUMMYFUNCTION("""COMPUTED_VALUE"""),"300m H1")</f>
        <v>300m H1</v>
      </c>
      <c r="E29" s="6" t="str">
        <f ca="1">IFERROR(__xludf.DUMMYFUNCTION("""COMPUTED_VALUE"""),"Individuaalne")</f>
        <v>Individuaalne</v>
      </c>
      <c r="F29" s="6" t="str">
        <f ca="1">IFERROR(__xludf.DUMMYFUNCTION("""COMPUTED_VALUE"""),"09.09.23")</f>
        <v>09.09.23</v>
      </c>
      <c r="G29" s="6">
        <f ca="1">IFERROR(__xludf.DUMMYFUNCTION("""COMPUTED_VALUE"""),73)</f>
        <v>73</v>
      </c>
      <c r="H29" s="6">
        <f ca="1">IFERROR(__xludf.DUMMYFUNCTION("""COMPUTED_VALUE"""),73)</f>
        <v>73</v>
      </c>
      <c r="I29" s="6">
        <f ca="1">IFERROR(__xludf.DUMMYFUNCTION("""COMPUTED_VALUE"""),76)</f>
        <v>76</v>
      </c>
      <c r="J29" s="6"/>
      <c r="K29" s="6"/>
      <c r="L29" s="6"/>
      <c r="M29" s="6">
        <f ca="1">IFERROR(__xludf.DUMMYFUNCTION("""COMPUTED_VALUE"""),222)</f>
        <v>222</v>
      </c>
      <c r="N29" s="6"/>
    </row>
    <row r="30" spans="1:14" ht="12.75">
      <c r="A30" s="6" t="str">
        <f ca="1">IFERROR(__xludf.DUMMYFUNCTION("""COMPUTED_VALUE"""),"Meelis Unt")</f>
        <v>Meelis Unt</v>
      </c>
      <c r="B30" s="6" t="str">
        <f ca="1">IFERROR(__xludf.DUMMYFUNCTION("""COMPUTED_VALUE"""),"KL peastaap")</f>
        <v>KL peastaap</v>
      </c>
      <c r="C30" s="6" t="str">
        <f ca="1">IFERROR(__xludf.DUMMYFUNCTION("""COMPUTED_VALUE"""),"M")</f>
        <v>M</v>
      </c>
      <c r="D30" s="6" t="str">
        <f ca="1">IFERROR(__xludf.DUMMYFUNCTION("""COMPUTED_VALUE"""),"300m H1")</f>
        <v>300m H1</v>
      </c>
      <c r="E30" s="6" t="str">
        <f ca="1">IFERROR(__xludf.DUMMYFUNCTION("""COMPUTED_VALUE"""),"Individuaalne")</f>
        <v>Individuaalne</v>
      </c>
      <c r="F30" s="6" t="str">
        <f ca="1">IFERROR(__xludf.DUMMYFUNCTION("""COMPUTED_VALUE"""),"09.09.23")</f>
        <v>09.09.23</v>
      </c>
      <c r="G30" s="6">
        <f ca="1">IFERROR(__xludf.DUMMYFUNCTION("""COMPUTED_VALUE"""),72)</f>
        <v>72</v>
      </c>
      <c r="H30" s="6">
        <f ca="1">IFERROR(__xludf.DUMMYFUNCTION("""COMPUTED_VALUE"""),67)</f>
        <v>67</v>
      </c>
      <c r="I30" s="6">
        <f ca="1">IFERROR(__xludf.DUMMYFUNCTION("""COMPUTED_VALUE"""),82)</f>
        <v>82</v>
      </c>
      <c r="J30" s="6"/>
      <c r="K30" s="6"/>
      <c r="L30" s="6"/>
      <c r="M30" s="6">
        <f ca="1">IFERROR(__xludf.DUMMYFUNCTION("""COMPUTED_VALUE"""),221)</f>
        <v>221</v>
      </c>
      <c r="N30" s="6"/>
    </row>
    <row r="31" spans="1:14" ht="12.75">
      <c r="A31" s="6" t="str">
        <f ca="1">IFERROR(__xludf.DUMMYFUNCTION("""COMPUTED_VALUE"""),"Enno Jeršov")</f>
        <v>Enno Jeršov</v>
      </c>
      <c r="B31" s="6" t="str">
        <f ca="1">IFERROR(__xludf.DUMMYFUNCTION("""COMPUTED_VALUE"""),"Viru")</f>
        <v>Viru</v>
      </c>
      <c r="C31" s="6" t="str">
        <f ca="1">IFERROR(__xludf.DUMMYFUNCTION("""COMPUTED_VALUE"""),"M")</f>
        <v>M</v>
      </c>
      <c r="D31" s="6" t="str">
        <f ca="1">IFERROR(__xludf.DUMMYFUNCTION("""COMPUTED_VALUE"""),"300m H1")</f>
        <v>300m H1</v>
      </c>
      <c r="E31" s="6" t="str">
        <f ca="1">IFERROR(__xludf.DUMMYFUNCTION("""COMPUTED_VALUE"""),"Võistkond")</f>
        <v>Võistkond</v>
      </c>
      <c r="F31" s="6" t="str">
        <f ca="1">IFERROR(__xludf.DUMMYFUNCTION("""COMPUTED_VALUE"""),"10.09.23")</f>
        <v>10.09.23</v>
      </c>
      <c r="G31" s="6">
        <f ca="1">IFERROR(__xludf.DUMMYFUNCTION("""COMPUTED_VALUE"""),78)</f>
        <v>78</v>
      </c>
      <c r="H31" s="6">
        <f ca="1">IFERROR(__xludf.DUMMYFUNCTION("""COMPUTED_VALUE"""),68)</f>
        <v>68</v>
      </c>
      <c r="I31" s="6">
        <f ca="1">IFERROR(__xludf.DUMMYFUNCTION("""COMPUTED_VALUE"""),74)</f>
        <v>74</v>
      </c>
      <c r="J31" s="6"/>
      <c r="K31" s="6"/>
      <c r="L31" s="6"/>
      <c r="M31" s="6">
        <f ca="1">IFERROR(__xludf.DUMMYFUNCTION("""COMPUTED_VALUE"""),220)</f>
        <v>220</v>
      </c>
      <c r="N31" s="6">
        <f ca="1">IFERROR(__xludf.DUMMYFUNCTION("""COMPUTED_VALUE"""),220)</f>
        <v>220</v>
      </c>
    </row>
    <row r="32" spans="1:14" ht="12.75">
      <c r="A32" s="6" t="str">
        <f ca="1">IFERROR(__xludf.DUMMYFUNCTION("""COMPUTED_VALUE"""),"Ain Nurmla")</f>
        <v>Ain Nurmla</v>
      </c>
      <c r="B32" s="6" t="str">
        <f ca="1">IFERROR(__xludf.DUMMYFUNCTION("""COMPUTED_VALUE"""),"Valgamaa")</f>
        <v>Valgamaa</v>
      </c>
      <c r="C32" s="6" t="str">
        <f ca="1">IFERROR(__xludf.DUMMYFUNCTION("""COMPUTED_VALUE"""),"M")</f>
        <v>M</v>
      </c>
      <c r="D32" s="6" t="str">
        <f ca="1">IFERROR(__xludf.DUMMYFUNCTION("""COMPUTED_VALUE"""),"300m H1")</f>
        <v>300m H1</v>
      </c>
      <c r="E32" s="6" t="str">
        <f ca="1">IFERROR(__xludf.DUMMYFUNCTION("""COMPUTED_VALUE"""),"Võistkond")</f>
        <v>Võistkond</v>
      </c>
      <c r="F32" s="6" t="str">
        <f ca="1">IFERROR(__xludf.DUMMYFUNCTION("""COMPUTED_VALUE"""),"09.09.23")</f>
        <v>09.09.23</v>
      </c>
      <c r="G32" s="6">
        <f ca="1">IFERROR(__xludf.DUMMYFUNCTION("""COMPUTED_VALUE"""),76)</f>
        <v>76</v>
      </c>
      <c r="H32" s="6">
        <f ca="1">IFERROR(__xludf.DUMMYFUNCTION("""COMPUTED_VALUE"""),62)</f>
        <v>62</v>
      </c>
      <c r="I32" s="6">
        <f ca="1">IFERROR(__xludf.DUMMYFUNCTION("""COMPUTED_VALUE"""),80)</f>
        <v>80</v>
      </c>
      <c r="J32" s="6"/>
      <c r="K32" s="6"/>
      <c r="L32" s="6"/>
      <c r="M32" s="6">
        <f ca="1">IFERROR(__xludf.DUMMYFUNCTION("""COMPUTED_VALUE"""),218)</f>
        <v>218</v>
      </c>
      <c r="N32" s="6">
        <f ca="1">IFERROR(__xludf.DUMMYFUNCTION("""COMPUTED_VALUE"""),218)</f>
        <v>218</v>
      </c>
    </row>
    <row r="33" spans="1:14" ht="12.75">
      <c r="A33" s="6" t="str">
        <f ca="1">IFERROR(__xludf.DUMMYFUNCTION("""COMPUTED_VALUE"""),"Kristjan Kajaste")</f>
        <v>Kristjan Kajaste</v>
      </c>
      <c r="B33" s="6" t="str">
        <f ca="1">IFERROR(__xludf.DUMMYFUNCTION("""COMPUTED_VALUE"""),"Rapla")</f>
        <v>Rapla</v>
      </c>
      <c r="C33" s="6" t="str">
        <f ca="1">IFERROR(__xludf.DUMMYFUNCTION("""COMPUTED_VALUE"""),"M")</f>
        <v>M</v>
      </c>
      <c r="D33" s="6" t="str">
        <f ca="1">IFERROR(__xludf.DUMMYFUNCTION("""COMPUTED_VALUE"""),"300m H1")</f>
        <v>300m H1</v>
      </c>
      <c r="E33" s="6" t="str">
        <f ca="1">IFERROR(__xludf.DUMMYFUNCTION("""COMPUTED_VALUE"""),"Võistkond")</f>
        <v>Võistkond</v>
      </c>
      <c r="F33" s="6" t="str">
        <f ca="1">IFERROR(__xludf.DUMMYFUNCTION("""COMPUTED_VALUE"""),"10.09.23")</f>
        <v>10.09.23</v>
      </c>
      <c r="G33" s="6">
        <f ca="1">IFERROR(__xludf.DUMMYFUNCTION("""COMPUTED_VALUE"""),77)</f>
        <v>77</v>
      </c>
      <c r="H33" s="6">
        <f ca="1">IFERROR(__xludf.DUMMYFUNCTION("""COMPUTED_VALUE"""),67)</f>
        <v>67</v>
      </c>
      <c r="I33" s="6">
        <f ca="1">IFERROR(__xludf.DUMMYFUNCTION("""COMPUTED_VALUE"""),74)</f>
        <v>74</v>
      </c>
      <c r="J33" s="6"/>
      <c r="K33" s="6"/>
      <c r="L33" s="6"/>
      <c r="M33" s="6">
        <f ca="1">IFERROR(__xludf.DUMMYFUNCTION("""COMPUTED_VALUE"""),218)</f>
        <v>218</v>
      </c>
      <c r="N33" s="6">
        <f ca="1">IFERROR(__xludf.DUMMYFUNCTION("""COMPUTED_VALUE"""),218)</f>
        <v>218</v>
      </c>
    </row>
    <row r="34" spans="1:14" ht="12.75">
      <c r="A34" s="6" t="str">
        <f ca="1">IFERROR(__xludf.DUMMYFUNCTION("""COMPUTED_VALUE"""),"Indrek Hunt")</f>
        <v>Indrek Hunt</v>
      </c>
      <c r="B34" s="6" t="str">
        <f ca="1">IFERROR(__xludf.DUMMYFUNCTION("""COMPUTED_VALUE"""),"Võrumaa")</f>
        <v>Võrumaa</v>
      </c>
      <c r="C34" s="6" t="str">
        <f ca="1">IFERROR(__xludf.DUMMYFUNCTION("""COMPUTED_VALUE"""),"M")</f>
        <v>M</v>
      </c>
      <c r="D34" s="6" t="str">
        <f ca="1">IFERROR(__xludf.DUMMYFUNCTION("""COMPUTED_VALUE"""),"300m H1")</f>
        <v>300m H1</v>
      </c>
      <c r="E34" s="6" t="str">
        <f ca="1">IFERROR(__xludf.DUMMYFUNCTION("""COMPUTED_VALUE"""),"Võistkond")</f>
        <v>Võistkond</v>
      </c>
      <c r="F34" s="6" t="str">
        <f ca="1">IFERROR(__xludf.DUMMYFUNCTION("""COMPUTED_VALUE"""),"10.09.23")</f>
        <v>10.09.23</v>
      </c>
      <c r="G34" s="6">
        <f ca="1">IFERROR(__xludf.DUMMYFUNCTION("""COMPUTED_VALUE"""),74)</f>
        <v>74</v>
      </c>
      <c r="H34" s="6">
        <f ca="1">IFERROR(__xludf.DUMMYFUNCTION("""COMPUTED_VALUE"""),72)</f>
        <v>72</v>
      </c>
      <c r="I34" s="6">
        <f ca="1">IFERROR(__xludf.DUMMYFUNCTION("""COMPUTED_VALUE"""),71)</f>
        <v>71</v>
      </c>
      <c r="J34" s="6"/>
      <c r="K34" s="6"/>
      <c r="L34" s="6"/>
      <c r="M34" s="6">
        <f ca="1">IFERROR(__xludf.DUMMYFUNCTION("""COMPUTED_VALUE"""),217)</f>
        <v>217</v>
      </c>
      <c r="N34" s="6">
        <f ca="1">IFERROR(__xludf.DUMMYFUNCTION("""COMPUTED_VALUE"""),217)</f>
        <v>217</v>
      </c>
    </row>
    <row r="35" spans="1:14" ht="12.75">
      <c r="A35" s="6" t="str">
        <f ca="1">IFERROR(__xludf.DUMMYFUNCTION("""COMPUTED_VALUE"""),"Andres Käär")</f>
        <v>Andres Käär</v>
      </c>
      <c r="B35" s="6" t="str">
        <f ca="1">IFERROR(__xludf.DUMMYFUNCTION("""COMPUTED_VALUE"""),"Harju")</f>
        <v>Harju</v>
      </c>
      <c r="C35" s="6" t="str">
        <f ca="1">IFERROR(__xludf.DUMMYFUNCTION("""COMPUTED_VALUE"""),"M")</f>
        <v>M</v>
      </c>
      <c r="D35" s="6" t="str">
        <f ca="1">IFERROR(__xludf.DUMMYFUNCTION("""COMPUTED_VALUE"""),"300m H1")</f>
        <v>300m H1</v>
      </c>
      <c r="E35" s="6" t="str">
        <f ca="1">IFERROR(__xludf.DUMMYFUNCTION("""COMPUTED_VALUE"""),"Võistkond")</f>
        <v>Võistkond</v>
      </c>
      <c r="F35" s="6" t="str">
        <f ca="1">IFERROR(__xludf.DUMMYFUNCTION("""COMPUTED_VALUE"""),"10.09.23")</f>
        <v>10.09.23</v>
      </c>
      <c r="G35" s="6">
        <f ca="1">IFERROR(__xludf.DUMMYFUNCTION("""COMPUTED_VALUE"""),75)</f>
        <v>75</v>
      </c>
      <c r="H35" s="6">
        <f ca="1">IFERROR(__xludf.DUMMYFUNCTION("""COMPUTED_VALUE"""),63)</f>
        <v>63</v>
      </c>
      <c r="I35" s="6">
        <f ca="1">IFERROR(__xludf.DUMMYFUNCTION("""COMPUTED_VALUE"""),74)</f>
        <v>74</v>
      </c>
      <c r="J35" s="6"/>
      <c r="K35" s="6"/>
      <c r="L35" s="6"/>
      <c r="M35" s="6">
        <f ca="1">IFERROR(__xludf.DUMMYFUNCTION("""COMPUTED_VALUE"""),212)</f>
        <v>212</v>
      </c>
      <c r="N35" s="6">
        <f ca="1">IFERROR(__xludf.DUMMYFUNCTION("""COMPUTED_VALUE"""),212)</f>
        <v>212</v>
      </c>
    </row>
    <row r="36" spans="1:14" ht="12.75">
      <c r="A36" s="6" t="str">
        <f ca="1">IFERROR(__xludf.DUMMYFUNCTION("""COMPUTED_VALUE"""),"Margus Palolill")</f>
        <v>Margus Palolill</v>
      </c>
      <c r="B36" s="6" t="str">
        <f ca="1">IFERROR(__xludf.DUMMYFUNCTION("""COMPUTED_VALUE"""),"Põlva")</f>
        <v>Põlva</v>
      </c>
      <c r="C36" s="6" t="str">
        <f ca="1">IFERROR(__xludf.DUMMYFUNCTION("""COMPUTED_VALUE"""),"M")</f>
        <v>M</v>
      </c>
      <c r="D36" s="6" t="str">
        <f ca="1">IFERROR(__xludf.DUMMYFUNCTION("""COMPUTED_VALUE"""),"300m H1")</f>
        <v>300m H1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IFERROR(__xludf.DUMMYFUNCTION("""COMPUTED_VALUE"""),62)</f>
        <v>62</v>
      </c>
      <c r="H36" s="6">
        <f ca="1">IFERROR(__xludf.DUMMYFUNCTION("""COMPUTED_VALUE"""),69)</f>
        <v>69</v>
      </c>
      <c r="I36" s="6">
        <f ca="1">IFERROR(__xludf.DUMMYFUNCTION("""COMPUTED_VALUE"""),80)</f>
        <v>80</v>
      </c>
      <c r="J36" s="6"/>
      <c r="K36" s="6"/>
      <c r="L36" s="6"/>
      <c r="M36" s="6">
        <f ca="1">IFERROR(__xludf.DUMMYFUNCTION("""COMPUTED_VALUE"""),211)</f>
        <v>211</v>
      </c>
      <c r="N36" s="6">
        <f ca="1">IFERROR(__xludf.DUMMYFUNCTION("""COMPUTED_VALUE"""),211)</f>
        <v>211</v>
      </c>
    </row>
    <row r="37" spans="1:14" ht="12.75">
      <c r="A37" s="6" t="str">
        <f ca="1">IFERROR(__xludf.DUMMYFUNCTION("""COMPUTED_VALUE"""),"Martti Raavel")</f>
        <v>Martti Raavel</v>
      </c>
      <c r="B37" s="6" t="str">
        <f ca="1">IFERROR(__xludf.DUMMYFUNCTION("""COMPUTED_VALUE"""),"KKÜ")</f>
        <v>KKÜ</v>
      </c>
      <c r="C37" s="6" t="str">
        <f ca="1">IFERROR(__xludf.DUMMYFUNCTION("""COMPUTED_VALUE"""),"M")</f>
        <v>M</v>
      </c>
      <c r="D37" s="6" t="str">
        <f ca="1">IFERROR(__xludf.DUMMYFUNCTION("""COMPUTED_VALUE"""),"300m H1")</f>
        <v>300m H1</v>
      </c>
      <c r="E37" s="6" t="str">
        <f ca="1">IFERROR(__xludf.DUMMYFUNCTION("""COMPUTED_VALUE"""),"Võistkond")</f>
        <v>Võistkond</v>
      </c>
      <c r="F37" s="6" t="str">
        <f ca="1">IFERROR(__xludf.DUMMYFUNCTION("""COMPUTED_VALUE"""),"09.09.23")</f>
        <v>09.09.23</v>
      </c>
      <c r="G37" s="6">
        <f ca="1">IFERROR(__xludf.DUMMYFUNCTION("""COMPUTED_VALUE"""),65)</f>
        <v>65</v>
      </c>
      <c r="H37" s="6">
        <f ca="1">IFERROR(__xludf.DUMMYFUNCTION("""COMPUTED_VALUE"""),75)</f>
        <v>75</v>
      </c>
      <c r="I37" s="6">
        <f ca="1">IFERROR(__xludf.DUMMYFUNCTION("""COMPUTED_VALUE"""),71)</f>
        <v>71</v>
      </c>
      <c r="J37" s="6"/>
      <c r="K37" s="6"/>
      <c r="L37" s="6"/>
      <c r="M37" s="6">
        <f ca="1">IFERROR(__xludf.DUMMYFUNCTION("""COMPUTED_VALUE"""),211)</f>
        <v>211</v>
      </c>
      <c r="N37" s="6">
        <f ca="1">IFERROR(__xludf.DUMMYFUNCTION("""COMPUTED_VALUE"""),211)</f>
        <v>211</v>
      </c>
    </row>
    <row r="38" spans="1:14" ht="12.75">
      <c r="A38" s="6" t="str">
        <f ca="1">IFERROR(__xludf.DUMMYFUNCTION("""COMPUTED_VALUE"""),"Kert Humal")</f>
        <v>Kert Humal</v>
      </c>
      <c r="B38" s="6" t="str">
        <f ca="1">IFERROR(__xludf.DUMMYFUNCTION("""COMPUTED_VALUE"""),"Saaremaa")</f>
        <v>Saaremaa</v>
      </c>
      <c r="C38" s="6" t="str">
        <f ca="1">IFERROR(__xludf.DUMMYFUNCTION("""COMPUTED_VALUE"""),"M")</f>
        <v>M</v>
      </c>
      <c r="D38" s="6" t="str">
        <f ca="1">IFERROR(__xludf.DUMMYFUNCTION("""COMPUTED_VALUE"""),"300m H1")</f>
        <v>300m H1</v>
      </c>
      <c r="E38" s="6" t="str">
        <f ca="1">IFERROR(__xludf.DUMMYFUNCTION("""COMPUTED_VALUE"""),"Võistkond")</f>
        <v>Võistkond</v>
      </c>
      <c r="F38" s="6" t="str">
        <f ca="1">IFERROR(__xludf.DUMMYFUNCTION("""COMPUTED_VALUE"""),"09.09.23")</f>
        <v>09.09.23</v>
      </c>
      <c r="G38" s="6">
        <f ca="1">IFERROR(__xludf.DUMMYFUNCTION("""COMPUTED_VALUE"""),81)</f>
        <v>81</v>
      </c>
      <c r="H38" s="6">
        <f ca="1">IFERROR(__xludf.DUMMYFUNCTION("""COMPUTED_VALUE"""),74)</f>
        <v>74</v>
      </c>
      <c r="I38" s="6">
        <f ca="1">IFERROR(__xludf.DUMMYFUNCTION("""COMPUTED_VALUE"""),56)</f>
        <v>56</v>
      </c>
      <c r="J38" s="6"/>
      <c r="K38" s="6"/>
      <c r="L38" s="6"/>
      <c r="M38" s="6">
        <f ca="1">IFERROR(__xludf.DUMMYFUNCTION("""COMPUTED_VALUE"""),211)</f>
        <v>211</v>
      </c>
      <c r="N38" s="6">
        <f ca="1">IFERROR(__xludf.DUMMYFUNCTION("""COMPUTED_VALUE"""),211)</f>
        <v>211</v>
      </c>
    </row>
    <row r="39" spans="1:14" ht="12.75">
      <c r="A39" s="6" t="str">
        <f ca="1">IFERROR(__xludf.DUMMYFUNCTION("""COMPUTED_VALUE"""),"Erik Aadusoo")</f>
        <v>Erik Aadusoo</v>
      </c>
      <c r="B39" s="6" t="str">
        <f ca="1">IFERROR(__xludf.DUMMYFUNCTION("""COMPUTED_VALUE"""),"Tartu")</f>
        <v>Tartu</v>
      </c>
      <c r="C39" s="6" t="str">
        <f ca="1">IFERROR(__xludf.DUMMYFUNCTION("""COMPUTED_VALUE"""),"M")</f>
        <v>M</v>
      </c>
      <c r="D39" s="6" t="str">
        <f ca="1">IFERROR(__xludf.DUMMYFUNCTION("""COMPUTED_VALUE"""),"300m H1")</f>
        <v>300m H1</v>
      </c>
      <c r="E39" s="6" t="str">
        <f ca="1">IFERROR(__xludf.DUMMYFUNCTION("""COMPUTED_VALUE"""),"Võistkond")</f>
        <v>Võistkond</v>
      </c>
      <c r="F39" s="6" t="str">
        <f ca="1">IFERROR(__xludf.DUMMYFUNCTION("""COMPUTED_VALUE"""),"10.09.23")</f>
        <v>10.09.23</v>
      </c>
      <c r="G39" s="6">
        <f ca="1">IFERROR(__xludf.DUMMYFUNCTION("""COMPUTED_VALUE"""),72)</f>
        <v>72</v>
      </c>
      <c r="H39" s="6">
        <f ca="1">IFERROR(__xludf.DUMMYFUNCTION("""COMPUTED_VALUE"""),72)</f>
        <v>72</v>
      </c>
      <c r="I39" s="6">
        <f ca="1">IFERROR(__xludf.DUMMYFUNCTION("""COMPUTED_VALUE"""),65)</f>
        <v>65</v>
      </c>
      <c r="J39" s="6"/>
      <c r="K39" s="6"/>
      <c r="L39" s="6"/>
      <c r="M39" s="6">
        <f ca="1">IFERROR(__xludf.DUMMYFUNCTION("""COMPUTED_VALUE"""),209)</f>
        <v>209</v>
      </c>
      <c r="N39" s="6">
        <f ca="1">IFERROR(__xludf.DUMMYFUNCTION("""COMPUTED_VALUE"""),209)</f>
        <v>209</v>
      </c>
    </row>
    <row r="40" spans="1:14" ht="12.75">
      <c r="A40" s="6" t="str">
        <f ca="1">IFERROR(__xludf.DUMMYFUNCTION("""COMPUTED_VALUE"""),"Alar Nigul")</f>
        <v>Alar Nigul</v>
      </c>
      <c r="B40" s="6" t="str">
        <f ca="1">IFERROR(__xludf.DUMMYFUNCTION("""COMPUTED_VALUE"""),"Tallinn")</f>
        <v>Tallinn</v>
      </c>
      <c r="C40" s="6" t="str">
        <f ca="1">IFERROR(__xludf.DUMMYFUNCTION("""COMPUTED_VALUE"""),"M")</f>
        <v>M</v>
      </c>
      <c r="D40" s="6" t="str">
        <f ca="1">IFERROR(__xludf.DUMMYFUNCTION("""COMPUTED_VALUE"""),"300m H1")</f>
        <v>300m H1</v>
      </c>
      <c r="E40" s="6" t="str">
        <f ca="1">IFERROR(__xludf.DUMMYFUNCTION("""COMPUTED_VALUE"""),"Individuaalne")</f>
        <v>Individuaalne</v>
      </c>
      <c r="F40" s="6" t="str">
        <f ca="1">IFERROR(__xludf.DUMMYFUNCTION("""COMPUTED_VALUE"""),"10.09.23")</f>
        <v>10.09.23</v>
      </c>
      <c r="G40" s="6">
        <f ca="1">IFERROR(__xludf.DUMMYFUNCTION("""COMPUTED_VALUE"""),63)</f>
        <v>63</v>
      </c>
      <c r="H40" s="6">
        <f ca="1">IFERROR(__xludf.DUMMYFUNCTION("""COMPUTED_VALUE"""),72)</f>
        <v>72</v>
      </c>
      <c r="I40" s="6">
        <f ca="1">IFERROR(__xludf.DUMMYFUNCTION("""COMPUTED_VALUE"""),71)</f>
        <v>71</v>
      </c>
      <c r="J40" s="6"/>
      <c r="K40" s="6"/>
      <c r="L40" s="6"/>
      <c r="M40" s="6">
        <f ca="1">IFERROR(__xludf.DUMMYFUNCTION("""COMPUTED_VALUE"""),206)</f>
        <v>206</v>
      </c>
      <c r="N40" s="6"/>
    </row>
    <row r="41" spans="1:14" ht="12.75">
      <c r="A41" s="6" t="str">
        <f ca="1">IFERROR(__xludf.DUMMYFUNCTION("""COMPUTED_VALUE"""),"Merle Pekri")</f>
        <v>Merle Pekri</v>
      </c>
      <c r="B41" s="6" t="str">
        <f ca="1">IFERROR(__xludf.DUMMYFUNCTION("""COMPUTED_VALUE"""),"Tallinn")</f>
        <v>Tallinn</v>
      </c>
      <c r="C41" s="6" t="str">
        <f ca="1">IFERROR(__xludf.DUMMYFUNCTION("""COMPUTED_VALUE"""),"N")</f>
        <v>N</v>
      </c>
      <c r="D41" s="6" t="str">
        <f ca="1">IFERROR(__xludf.DUMMYFUNCTION("""COMPUTED_VALUE"""),"300m H1")</f>
        <v>300m H1</v>
      </c>
      <c r="E41" s="6" t="str">
        <f ca="1">IFERROR(__xludf.DUMMYFUNCTION("""COMPUTED_VALUE"""),"Individuaalne")</f>
        <v>Individuaalne</v>
      </c>
      <c r="F41" s="6" t="str">
        <f ca="1">IFERROR(__xludf.DUMMYFUNCTION("""COMPUTED_VALUE"""),"10.09.23")</f>
        <v>10.09.23</v>
      </c>
      <c r="G41" s="6">
        <f ca="1">IFERROR(__xludf.DUMMYFUNCTION("""COMPUTED_VALUE"""),68)</f>
        <v>68</v>
      </c>
      <c r="H41" s="6">
        <f ca="1">IFERROR(__xludf.DUMMYFUNCTION("""COMPUTED_VALUE"""),70)</f>
        <v>70</v>
      </c>
      <c r="I41" s="6">
        <f ca="1">IFERROR(__xludf.DUMMYFUNCTION("""COMPUTED_VALUE"""),66)</f>
        <v>66</v>
      </c>
      <c r="J41" s="6"/>
      <c r="K41" s="6"/>
      <c r="L41" s="6"/>
      <c r="M41" s="6">
        <f ca="1">IFERROR(__xludf.DUMMYFUNCTION("""COMPUTED_VALUE"""),204)</f>
        <v>204</v>
      </c>
      <c r="N41" s="6"/>
    </row>
    <row r="42" spans="1:14" ht="12.75">
      <c r="A42" s="6" t="str">
        <f ca="1">IFERROR(__xludf.DUMMYFUNCTION("""COMPUTED_VALUE"""),"Rivo Poltimäe")</f>
        <v>Rivo Poltimäe</v>
      </c>
      <c r="B42" s="6" t="str">
        <f ca="1">IFERROR(__xludf.DUMMYFUNCTION("""COMPUTED_VALUE"""),"Võrumaa")</f>
        <v>Võrumaa</v>
      </c>
      <c r="C42" s="6" t="str">
        <f ca="1">IFERROR(__xludf.DUMMYFUNCTION("""COMPUTED_VALUE"""),"M")</f>
        <v>M</v>
      </c>
      <c r="D42" s="6" t="str">
        <f ca="1">IFERROR(__xludf.DUMMYFUNCTION("""COMPUTED_VALUE"""),"300m H1")</f>
        <v>300m H1</v>
      </c>
      <c r="E42" s="6" t="str">
        <f ca="1">IFERROR(__xludf.DUMMYFUNCTION("""COMPUTED_VALUE"""),"Võistkond")</f>
        <v>Võistkond</v>
      </c>
      <c r="F42" s="6" t="str">
        <f ca="1">IFERROR(__xludf.DUMMYFUNCTION("""COMPUTED_VALUE"""),"10.09.23")</f>
        <v>10.09.23</v>
      </c>
      <c r="G42" s="6">
        <f ca="1">IFERROR(__xludf.DUMMYFUNCTION("""COMPUTED_VALUE"""),65)</f>
        <v>65</v>
      </c>
      <c r="H42" s="6">
        <f ca="1">IFERROR(__xludf.DUMMYFUNCTION("""COMPUTED_VALUE"""),68)</f>
        <v>68</v>
      </c>
      <c r="I42" s="6">
        <f ca="1">IFERROR(__xludf.DUMMYFUNCTION("""COMPUTED_VALUE"""),70)</f>
        <v>70</v>
      </c>
      <c r="J42" s="6"/>
      <c r="K42" s="6"/>
      <c r="L42" s="6"/>
      <c r="M42" s="6">
        <f ca="1">IFERROR(__xludf.DUMMYFUNCTION("""COMPUTED_VALUE"""),203)</f>
        <v>203</v>
      </c>
      <c r="N42" s="6">
        <f ca="1">IFERROR(__xludf.DUMMYFUNCTION("""COMPUTED_VALUE"""),203)</f>
        <v>203</v>
      </c>
    </row>
    <row r="43" spans="1:14" ht="12.75">
      <c r="A43" s="6" t="str">
        <f ca="1">IFERROR(__xludf.DUMMYFUNCTION("""COMPUTED_VALUE"""),"Eha Valdna")</f>
        <v>Eha Valdna</v>
      </c>
      <c r="B43" s="6" t="str">
        <f ca="1">IFERROR(__xludf.DUMMYFUNCTION("""COMPUTED_VALUE"""),"Viru")</f>
        <v>Viru</v>
      </c>
      <c r="C43" s="6" t="str">
        <f ca="1">IFERROR(__xludf.DUMMYFUNCTION("""COMPUTED_VALUE"""),"N")</f>
        <v>N</v>
      </c>
      <c r="D43" s="6" t="str">
        <f ca="1">IFERROR(__xludf.DUMMYFUNCTION("""COMPUTED_VALUE"""),"300m H1")</f>
        <v>300m H1</v>
      </c>
      <c r="E43" s="6" t="str">
        <f ca="1">IFERROR(__xludf.DUMMYFUNCTION("""COMPUTED_VALUE"""),"Võistkond")</f>
        <v>Võistkond</v>
      </c>
      <c r="F43" s="6" t="str">
        <f ca="1">IFERROR(__xludf.DUMMYFUNCTION("""COMPUTED_VALUE"""),"09.09.23")</f>
        <v>09.09.23</v>
      </c>
      <c r="G43" s="6">
        <f ca="1">IFERROR(__xludf.DUMMYFUNCTION("""COMPUTED_VALUE"""),79)</f>
        <v>79</v>
      </c>
      <c r="H43" s="6">
        <f ca="1">IFERROR(__xludf.DUMMYFUNCTION("""COMPUTED_VALUE"""),66)</f>
        <v>66</v>
      </c>
      <c r="I43" s="6">
        <f ca="1">IFERROR(__xludf.DUMMYFUNCTION("""COMPUTED_VALUE"""),58)</f>
        <v>58</v>
      </c>
      <c r="J43" s="6"/>
      <c r="K43" s="6"/>
      <c r="L43" s="6"/>
      <c r="M43" s="6">
        <f ca="1">IFERROR(__xludf.DUMMYFUNCTION("""COMPUTED_VALUE"""),203)</f>
        <v>203</v>
      </c>
      <c r="N43" s="6">
        <f ca="1">IFERROR(__xludf.DUMMYFUNCTION("""COMPUTED_VALUE"""),203)</f>
        <v>203</v>
      </c>
    </row>
    <row r="44" spans="1:14" ht="12.75">
      <c r="A44" s="6" t="str">
        <f ca="1">IFERROR(__xludf.DUMMYFUNCTION("""COMPUTED_VALUE"""),"Liis Kruuse")</f>
        <v>Liis Kruuse</v>
      </c>
      <c r="B44" s="6" t="str">
        <f ca="1">IFERROR(__xludf.DUMMYFUNCTION("""COMPUTED_VALUE"""),"Tartu")</f>
        <v>Tartu</v>
      </c>
      <c r="C44" s="6" t="str">
        <f ca="1">IFERROR(__xludf.DUMMYFUNCTION("""COMPUTED_VALUE"""),"N")</f>
        <v>N</v>
      </c>
      <c r="D44" s="6" t="str">
        <f ca="1">IFERROR(__xludf.DUMMYFUNCTION("""COMPUTED_VALUE"""),"300m H1")</f>
        <v>300m H1</v>
      </c>
      <c r="E44" s="6" t="str">
        <f ca="1">IFERROR(__xludf.DUMMYFUNCTION("""COMPUTED_VALUE"""),"Võistkond")</f>
        <v>Võistkond</v>
      </c>
      <c r="F44" s="6" t="str">
        <f ca="1">IFERROR(__xludf.DUMMYFUNCTION("""COMPUTED_VALUE"""),"10.09.23")</f>
        <v>10.09.23</v>
      </c>
      <c r="G44" s="6">
        <f ca="1">IFERROR(__xludf.DUMMYFUNCTION("""COMPUTED_VALUE"""),69)</f>
        <v>69</v>
      </c>
      <c r="H44" s="6">
        <f ca="1">IFERROR(__xludf.DUMMYFUNCTION("""COMPUTED_VALUE"""),64)</f>
        <v>64</v>
      </c>
      <c r="I44" s="6">
        <f ca="1">IFERROR(__xludf.DUMMYFUNCTION("""COMPUTED_VALUE"""),68)</f>
        <v>68</v>
      </c>
      <c r="J44" s="6"/>
      <c r="K44" s="6"/>
      <c r="L44" s="6"/>
      <c r="M44" s="6">
        <f ca="1">IFERROR(__xludf.DUMMYFUNCTION("""COMPUTED_VALUE"""),201)</f>
        <v>201</v>
      </c>
      <c r="N44" s="6">
        <f ca="1">IFERROR(__xludf.DUMMYFUNCTION("""COMPUTED_VALUE"""),201)</f>
        <v>201</v>
      </c>
    </row>
    <row r="45" spans="1:14" ht="12.75">
      <c r="A45" s="6" t="str">
        <f ca="1">IFERROR(__xludf.DUMMYFUNCTION("""COMPUTED_VALUE"""),"Kristiina Kivari")</f>
        <v>Kristiina Kivari</v>
      </c>
      <c r="B45" s="6" t="str">
        <f ca="1">IFERROR(__xludf.DUMMYFUNCTION("""COMPUTED_VALUE"""),"Tallinn")</f>
        <v>Tallinn</v>
      </c>
      <c r="C45" s="6" t="str">
        <f ca="1">IFERROR(__xludf.DUMMYFUNCTION("""COMPUTED_VALUE"""),"N")</f>
        <v>N</v>
      </c>
      <c r="D45" s="6" t="str">
        <f ca="1">IFERROR(__xludf.DUMMYFUNCTION("""COMPUTED_VALUE"""),"300m H1")</f>
        <v>300m H1</v>
      </c>
      <c r="E45" s="6" t="str">
        <f ca="1">IFERROR(__xludf.DUMMYFUNCTION("""COMPUTED_VALUE"""),"Võistkond")</f>
        <v>Võistkond</v>
      </c>
      <c r="F45" s="6" t="str">
        <f ca="1">IFERROR(__xludf.DUMMYFUNCTION("""COMPUTED_VALUE"""),"09.09.23")</f>
        <v>09.09.23</v>
      </c>
      <c r="G45" s="6">
        <f ca="1">IFERROR(__xludf.DUMMYFUNCTION("""COMPUTED_VALUE"""),69)</f>
        <v>69</v>
      </c>
      <c r="H45" s="6">
        <f ca="1">IFERROR(__xludf.DUMMYFUNCTION("""COMPUTED_VALUE"""),62)</f>
        <v>62</v>
      </c>
      <c r="I45" s="6">
        <f ca="1">IFERROR(__xludf.DUMMYFUNCTION("""COMPUTED_VALUE"""),68)</f>
        <v>68</v>
      </c>
      <c r="J45" s="6"/>
      <c r="K45" s="6"/>
      <c r="L45" s="6"/>
      <c r="M45" s="6">
        <f ca="1">IFERROR(__xludf.DUMMYFUNCTION("""COMPUTED_VALUE"""),199)</f>
        <v>199</v>
      </c>
      <c r="N45" s="6">
        <f ca="1">IFERROR(__xludf.DUMMYFUNCTION("""COMPUTED_VALUE"""),199)</f>
        <v>199</v>
      </c>
    </row>
    <row r="46" spans="1:14" ht="12.75">
      <c r="A46" s="6" t="str">
        <f ca="1">IFERROR(__xludf.DUMMYFUNCTION("""COMPUTED_VALUE"""),"Ragnar Joosep")</f>
        <v>Ragnar Joosep</v>
      </c>
      <c r="B46" s="6" t="str">
        <f ca="1">IFERROR(__xludf.DUMMYFUNCTION("""COMPUTED_VALUE"""),"Põlva")</f>
        <v>Põlva</v>
      </c>
      <c r="C46" s="6" t="str">
        <f ca="1">IFERROR(__xludf.DUMMYFUNCTION("""COMPUTED_VALUE"""),"M")</f>
        <v>M</v>
      </c>
      <c r="D46" s="6" t="str">
        <f ca="1">IFERROR(__xludf.DUMMYFUNCTION("""COMPUTED_VALUE"""),"300m H1")</f>
        <v>300m H1</v>
      </c>
      <c r="E46" s="6" t="str">
        <f ca="1">IFERROR(__xludf.DUMMYFUNCTION("""COMPUTED_VALUE"""),"Võistkond")</f>
        <v>Võistkond</v>
      </c>
      <c r="F46" s="6" t="str">
        <f ca="1">IFERROR(__xludf.DUMMYFUNCTION("""COMPUTED_VALUE"""),"10.09.23")</f>
        <v>10.09.23</v>
      </c>
      <c r="G46" s="6">
        <f ca="1">IFERROR(__xludf.DUMMYFUNCTION("""COMPUTED_VALUE"""),65)</f>
        <v>65</v>
      </c>
      <c r="H46" s="6">
        <f ca="1">IFERROR(__xludf.DUMMYFUNCTION("""COMPUTED_VALUE"""),61)</f>
        <v>61</v>
      </c>
      <c r="I46" s="6">
        <f ca="1">IFERROR(__xludf.DUMMYFUNCTION("""COMPUTED_VALUE"""),71)</f>
        <v>71</v>
      </c>
      <c r="J46" s="6"/>
      <c r="K46" s="6"/>
      <c r="L46" s="6"/>
      <c r="M46" s="6">
        <f ca="1">IFERROR(__xludf.DUMMYFUNCTION("""COMPUTED_VALUE"""),197)</f>
        <v>197</v>
      </c>
      <c r="N46" s="6">
        <f ca="1">IFERROR(__xludf.DUMMYFUNCTION("""COMPUTED_VALUE"""),197)</f>
        <v>197</v>
      </c>
    </row>
    <row r="47" spans="1:14" ht="12.75">
      <c r="A47" s="6" t="str">
        <f ca="1">IFERROR(__xludf.DUMMYFUNCTION("""COMPUTED_VALUE"""),"Markko Aarne")</f>
        <v>Markko Aarne</v>
      </c>
      <c r="B47" s="6" t="str">
        <f ca="1">IFERROR(__xludf.DUMMYFUNCTION("""COMPUTED_VALUE"""),"Sakala")</f>
        <v>Sakala</v>
      </c>
      <c r="C47" s="6" t="str">
        <f ca="1">IFERROR(__xludf.DUMMYFUNCTION("""COMPUTED_VALUE"""),"M")</f>
        <v>M</v>
      </c>
      <c r="D47" s="6" t="str">
        <f ca="1">IFERROR(__xludf.DUMMYFUNCTION("""COMPUTED_VALUE"""),"300m H1")</f>
        <v>300m H1</v>
      </c>
      <c r="E47" s="6" t="str">
        <f ca="1">IFERROR(__xludf.DUMMYFUNCTION("""COMPUTED_VALUE"""),"Individuaalne")</f>
        <v>Individuaalne</v>
      </c>
      <c r="F47" s="6" t="str">
        <f ca="1">IFERROR(__xludf.DUMMYFUNCTION("""COMPUTED_VALUE"""),"10.09.23")</f>
        <v>10.09.23</v>
      </c>
      <c r="G47" s="6">
        <f ca="1">IFERROR(__xludf.DUMMYFUNCTION("""COMPUTED_VALUE"""),63)</f>
        <v>63</v>
      </c>
      <c r="H47" s="6">
        <f ca="1">IFERROR(__xludf.DUMMYFUNCTION("""COMPUTED_VALUE"""),73)</f>
        <v>73</v>
      </c>
      <c r="I47" s="6">
        <f ca="1">IFERROR(__xludf.DUMMYFUNCTION("""COMPUTED_VALUE"""),60)</f>
        <v>60</v>
      </c>
      <c r="J47" s="6"/>
      <c r="K47" s="6"/>
      <c r="L47" s="6"/>
      <c r="M47" s="6">
        <f ca="1">IFERROR(__xludf.DUMMYFUNCTION("""COMPUTED_VALUE"""),196)</f>
        <v>196</v>
      </c>
      <c r="N47" s="6"/>
    </row>
    <row r="48" spans="1:14" ht="12.75">
      <c r="A48" s="6" t="str">
        <f ca="1">IFERROR(__xludf.DUMMYFUNCTION("""COMPUTED_VALUE"""),"Rainis Kukispuu")</f>
        <v>Rainis Kukispuu</v>
      </c>
      <c r="B48" s="6" t="str">
        <f ca="1">IFERROR(__xludf.DUMMYFUNCTION("""COMPUTED_VALUE"""),"Lääne")</f>
        <v>Lääne</v>
      </c>
      <c r="C48" s="6" t="str">
        <f ca="1">IFERROR(__xludf.DUMMYFUNCTION("""COMPUTED_VALUE"""),"M")</f>
        <v>M</v>
      </c>
      <c r="D48" s="6" t="str">
        <f ca="1">IFERROR(__xludf.DUMMYFUNCTION("""COMPUTED_VALUE"""),"300m H1")</f>
        <v>300m H1</v>
      </c>
      <c r="E48" s="6" t="str">
        <f ca="1">IFERROR(__xludf.DUMMYFUNCTION("""COMPUTED_VALUE"""),"Individuaalne")</f>
        <v>Individuaalne</v>
      </c>
      <c r="F48" s="6" t="str">
        <f ca="1">IFERROR(__xludf.DUMMYFUNCTION("""COMPUTED_VALUE"""),"10.09.23")</f>
        <v>10.09.23</v>
      </c>
      <c r="G48" s="6">
        <f ca="1">IFERROR(__xludf.DUMMYFUNCTION("""COMPUTED_VALUE"""),66)</f>
        <v>66</v>
      </c>
      <c r="H48" s="6">
        <f ca="1">IFERROR(__xludf.DUMMYFUNCTION("""COMPUTED_VALUE"""),63)</f>
        <v>63</v>
      </c>
      <c r="I48" s="6">
        <f ca="1">IFERROR(__xludf.DUMMYFUNCTION("""COMPUTED_VALUE"""),66)</f>
        <v>66</v>
      </c>
      <c r="J48" s="6"/>
      <c r="K48" s="6"/>
      <c r="L48" s="6"/>
      <c r="M48" s="6">
        <f ca="1">IFERROR(__xludf.DUMMYFUNCTION("""COMPUTED_VALUE"""),195)</f>
        <v>195</v>
      </c>
      <c r="N48" s="6"/>
    </row>
    <row r="49" spans="1:14" ht="12.75">
      <c r="A49" s="6" t="str">
        <f ca="1">IFERROR(__xludf.DUMMYFUNCTION("""COMPUTED_VALUE"""),"Jürgen Kaas")</f>
        <v>Jürgen Kaas</v>
      </c>
      <c r="B49" s="6" t="str">
        <f ca="1">IFERROR(__xludf.DUMMYFUNCTION("""COMPUTED_VALUE"""),"Järva")</f>
        <v>Järva</v>
      </c>
      <c r="C49" s="6" t="str">
        <f ca="1">IFERROR(__xludf.DUMMYFUNCTION("""COMPUTED_VALUE"""),"M")</f>
        <v>M</v>
      </c>
      <c r="D49" s="6" t="str">
        <f ca="1">IFERROR(__xludf.DUMMYFUNCTION("""COMPUTED_VALUE"""),"300m H1")</f>
        <v>300m H1</v>
      </c>
      <c r="E49" s="6" t="str">
        <f ca="1">IFERROR(__xludf.DUMMYFUNCTION("""COMPUTED_VALUE"""),"Individuaalne")</f>
        <v>Individuaalne</v>
      </c>
      <c r="F49" s="6" t="str">
        <f ca="1">IFERROR(__xludf.DUMMYFUNCTION("""COMPUTED_VALUE"""),"09.09.23")</f>
        <v>09.09.23</v>
      </c>
      <c r="G49" s="6">
        <f ca="1">IFERROR(__xludf.DUMMYFUNCTION("""COMPUTED_VALUE"""),69)</f>
        <v>69</v>
      </c>
      <c r="H49" s="6">
        <f ca="1">IFERROR(__xludf.DUMMYFUNCTION("""COMPUTED_VALUE"""),59)</f>
        <v>59</v>
      </c>
      <c r="I49" s="6">
        <f ca="1">IFERROR(__xludf.DUMMYFUNCTION("""COMPUTED_VALUE"""),66)</f>
        <v>66</v>
      </c>
      <c r="J49" s="6"/>
      <c r="K49" s="6"/>
      <c r="L49" s="6"/>
      <c r="M49" s="6">
        <f ca="1">IFERROR(__xludf.DUMMYFUNCTION("""COMPUTED_VALUE"""),194)</f>
        <v>194</v>
      </c>
      <c r="N49" s="6"/>
    </row>
    <row r="50" spans="1:14" ht="12.75">
      <c r="A50" s="6" t="str">
        <f ca="1">IFERROR(__xludf.DUMMYFUNCTION("""COMPUTED_VALUE"""),"Ele Lehes")</f>
        <v>Ele Lehes</v>
      </c>
      <c r="B50" s="6" t="str">
        <f ca="1">IFERROR(__xludf.DUMMYFUNCTION("""COMPUTED_VALUE"""),"Sakala")</f>
        <v>Sakala</v>
      </c>
      <c r="C50" s="6" t="str">
        <f ca="1">IFERROR(__xludf.DUMMYFUNCTION("""COMPUTED_VALUE"""),"N")</f>
        <v>N</v>
      </c>
      <c r="D50" s="6" t="str">
        <f ca="1">IFERROR(__xludf.DUMMYFUNCTION("""COMPUTED_VALUE"""),"300m H1")</f>
        <v>300m H1</v>
      </c>
      <c r="E50" s="6" t="str">
        <f ca="1">IFERROR(__xludf.DUMMYFUNCTION("""COMPUTED_VALUE"""),"Võistkond")</f>
        <v>Võistkond</v>
      </c>
      <c r="F50" s="6" t="str">
        <f ca="1">IFERROR(__xludf.DUMMYFUNCTION("""COMPUTED_VALUE"""),"10.09.23")</f>
        <v>10.09.23</v>
      </c>
      <c r="G50" s="6">
        <f ca="1">IFERROR(__xludf.DUMMYFUNCTION("""COMPUTED_VALUE"""),55)</f>
        <v>55</v>
      </c>
      <c r="H50" s="6">
        <f ca="1">IFERROR(__xludf.DUMMYFUNCTION("""COMPUTED_VALUE"""),74)</f>
        <v>74</v>
      </c>
      <c r="I50" s="6">
        <f ca="1">IFERROR(__xludf.DUMMYFUNCTION("""COMPUTED_VALUE"""),64)</f>
        <v>64</v>
      </c>
      <c r="J50" s="6"/>
      <c r="K50" s="6"/>
      <c r="L50" s="6"/>
      <c r="M50" s="6">
        <f ca="1">IFERROR(__xludf.DUMMYFUNCTION("""COMPUTED_VALUE"""),193)</f>
        <v>193</v>
      </c>
      <c r="N50" s="6">
        <f ca="1">IFERROR(__xludf.DUMMYFUNCTION("""COMPUTED_VALUE"""),193)</f>
        <v>193</v>
      </c>
    </row>
    <row r="51" spans="1:14" ht="12.75">
      <c r="A51" s="6" t="str">
        <f ca="1">IFERROR(__xludf.DUMMYFUNCTION("""COMPUTED_VALUE"""),"Andres Hairk")</f>
        <v>Andres Hairk</v>
      </c>
      <c r="B51" s="6" t="str">
        <f ca="1">IFERROR(__xludf.DUMMYFUNCTION("""COMPUTED_VALUE"""),"KKÜ")</f>
        <v>KKÜ</v>
      </c>
      <c r="C51" s="6" t="str">
        <f ca="1">IFERROR(__xludf.DUMMYFUNCTION("""COMPUTED_VALUE"""),"M")</f>
        <v>M</v>
      </c>
      <c r="D51" s="6" t="str">
        <f ca="1">IFERROR(__xludf.DUMMYFUNCTION("""COMPUTED_VALUE"""),"300m H1")</f>
        <v>300m H1</v>
      </c>
      <c r="E51" s="6" t="str">
        <f ca="1">IFERROR(__xludf.DUMMYFUNCTION("""COMPUTED_VALUE"""),"Võistkond")</f>
        <v>Võistkond</v>
      </c>
      <c r="F51" s="6" t="str">
        <f ca="1">IFERROR(__xludf.DUMMYFUNCTION("""COMPUTED_VALUE"""),"09.09.23")</f>
        <v>09.09.23</v>
      </c>
      <c r="G51" s="6">
        <f ca="1">IFERROR(__xludf.DUMMYFUNCTION("""COMPUTED_VALUE"""),66)</f>
        <v>66</v>
      </c>
      <c r="H51" s="6">
        <f ca="1">IFERROR(__xludf.DUMMYFUNCTION("""COMPUTED_VALUE"""),68)</f>
        <v>68</v>
      </c>
      <c r="I51" s="6">
        <f ca="1">IFERROR(__xludf.DUMMYFUNCTION("""COMPUTED_VALUE"""),59)</f>
        <v>59</v>
      </c>
      <c r="J51" s="6"/>
      <c r="K51" s="6"/>
      <c r="L51" s="6"/>
      <c r="M51" s="6">
        <f ca="1">IFERROR(__xludf.DUMMYFUNCTION("""COMPUTED_VALUE"""),193)</f>
        <v>193</v>
      </c>
      <c r="N51" s="6">
        <f ca="1">IFERROR(__xludf.DUMMYFUNCTION("""COMPUTED_VALUE"""),193)</f>
        <v>193</v>
      </c>
    </row>
    <row r="52" spans="1:14" ht="12.75">
      <c r="A52" s="6" t="str">
        <f ca="1">IFERROR(__xludf.DUMMYFUNCTION("""COMPUTED_VALUE"""),"Ivar Siidirätsep")</f>
        <v>Ivar Siidirätsep</v>
      </c>
      <c r="B52" s="6" t="str">
        <f ca="1">IFERROR(__xludf.DUMMYFUNCTION("""COMPUTED_VALUE"""),"Sakala")</f>
        <v>Sakala</v>
      </c>
      <c r="C52" s="6" t="str">
        <f ca="1">IFERROR(__xludf.DUMMYFUNCTION("""COMPUTED_VALUE"""),"M")</f>
        <v>M</v>
      </c>
      <c r="D52" s="6" t="str">
        <f ca="1">IFERROR(__xludf.DUMMYFUNCTION("""COMPUTED_VALUE"""),"300m H1")</f>
        <v>300m H1</v>
      </c>
      <c r="E52" s="6" t="str">
        <f ca="1">IFERROR(__xludf.DUMMYFUNCTION("""COMPUTED_VALUE"""),"Võistkond")</f>
        <v>Võistkond</v>
      </c>
      <c r="F52" s="6" t="str">
        <f ca="1">IFERROR(__xludf.DUMMYFUNCTION("""COMPUTED_VALUE"""),"10.09.23")</f>
        <v>10.09.23</v>
      </c>
      <c r="G52" s="6">
        <f ca="1">IFERROR(__xludf.DUMMYFUNCTION("""COMPUTED_VALUE"""),54)</f>
        <v>54</v>
      </c>
      <c r="H52" s="6">
        <f ca="1">IFERROR(__xludf.DUMMYFUNCTION("""COMPUTED_VALUE"""),60)</f>
        <v>60</v>
      </c>
      <c r="I52" s="6">
        <f ca="1">IFERROR(__xludf.DUMMYFUNCTION("""COMPUTED_VALUE"""),78)</f>
        <v>78</v>
      </c>
      <c r="J52" s="6"/>
      <c r="K52" s="6"/>
      <c r="L52" s="6"/>
      <c r="M52" s="6">
        <f ca="1">IFERROR(__xludf.DUMMYFUNCTION("""COMPUTED_VALUE"""),192)</f>
        <v>192</v>
      </c>
      <c r="N52" s="6">
        <f ca="1">IFERROR(__xludf.DUMMYFUNCTION("""COMPUTED_VALUE"""),192)</f>
        <v>192</v>
      </c>
    </row>
    <row r="53" spans="1:14" ht="12.75">
      <c r="A53" s="6" t="str">
        <f ca="1">IFERROR(__xludf.DUMMYFUNCTION("""COMPUTED_VALUE"""),"Vassili Stepanov")</f>
        <v>Vassili Stepanov</v>
      </c>
      <c r="B53" s="6" t="str">
        <f ca="1">IFERROR(__xludf.DUMMYFUNCTION("""COMPUTED_VALUE"""),"Rapla")</f>
        <v>Rapla</v>
      </c>
      <c r="C53" s="6" t="str">
        <f ca="1">IFERROR(__xludf.DUMMYFUNCTION("""COMPUTED_VALUE"""),"M")</f>
        <v>M</v>
      </c>
      <c r="D53" s="6" t="str">
        <f ca="1">IFERROR(__xludf.DUMMYFUNCTION("""COMPUTED_VALUE"""),"300m H1")</f>
        <v>300m H1</v>
      </c>
      <c r="E53" s="6" t="str">
        <f ca="1">IFERROR(__xludf.DUMMYFUNCTION("""COMPUTED_VALUE"""),"Võistkond")</f>
        <v>Võistkond</v>
      </c>
      <c r="F53" s="6" t="str">
        <f ca="1">IFERROR(__xludf.DUMMYFUNCTION("""COMPUTED_VALUE"""),"10.09.23")</f>
        <v>10.09.23</v>
      </c>
      <c r="G53" s="6">
        <f ca="1">IFERROR(__xludf.DUMMYFUNCTION("""COMPUTED_VALUE"""),68)</f>
        <v>68</v>
      </c>
      <c r="H53" s="6">
        <f ca="1">IFERROR(__xludf.DUMMYFUNCTION("""COMPUTED_VALUE"""),74)</f>
        <v>74</v>
      </c>
      <c r="I53" s="6">
        <f ca="1">IFERROR(__xludf.DUMMYFUNCTION("""COMPUTED_VALUE"""),48)</f>
        <v>48</v>
      </c>
      <c r="J53" s="6"/>
      <c r="K53" s="6"/>
      <c r="L53" s="6"/>
      <c r="M53" s="6">
        <f ca="1">IFERROR(__xludf.DUMMYFUNCTION("""COMPUTED_VALUE"""),190)</f>
        <v>190</v>
      </c>
      <c r="N53" s="6">
        <f ca="1">IFERROR(__xludf.DUMMYFUNCTION("""COMPUTED_VALUE"""),190)</f>
        <v>190</v>
      </c>
    </row>
    <row r="54" spans="1:14" ht="12.75">
      <c r="A54" s="6" t="str">
        <f ca="1">IFERROR(__xludf.DUMMYFUNCTION("""COMPUTED_VALUE"""),"Merri Laidma")</f>
        <v>Merri Laidma</v>
      </c>
      <c r="B54" s="6" t="str">
        <f ca="1">IFERROR(__xludf.DUMMYFUNCTION("""COMPUTED_VALUE"""),"KKÜ")</f>
        <v>KKÜ</v>
      </c>
      <c r="C54" s="6" t="str">
        <f ca="1">IFERROR(__xludf.DUMMYFUNCTION("""COMPUTED_VALUE"""),"N")</f>
        <v>N</v>
      </c>
      <c r="D54" s="6" t="str">
        <f ca="1">IFERROR(__xludf.DUMMYFUNCTION("""COMPUTED_VALUE"""),"300m H1")</f>
        <v>300m H1</v>
      </c>
      <c r="E54" s="6" t="str">
        <f ca="1">IFERROR(__xludf.DUMMYFUNCTION("""COMPUTED_VALUE"""),"Võistkond")</f>
        <v>Võistkond</v>
      </c>
      <c r="F54" s="6" t="str">
        <f ca="1">IFERROR(__xludf.DUMMYFUNCTION("""COMPUTED_VALUE"""),"09.09.23")</f>
        <v>09.09.23</v>
      </c>
      <c r="G54" s="6">
        <f ca="1">IFERROR(__xludf.DUMMYFUNCTION("""COMPUTED_VALUE"""),65)</f>
        <v>65</v>
      </c>
      <c r="H54" s="6">
        <f ca="1">IFERROR(__xludf.DUMMYFUNCTION("""COMPUTED_VALUE"""),64)</f>
        <v>64</v>
      </c>
      <c r="I54" s="6">
        <f ca="1">IFERROR(__xludf.DUMMYFUNCTION("""COMPUTED_VALUE"""),57)</f>
        <v>57</v>
      </c>
      <c r="J54" s="6"/>
      <c r="K54" s="6"/>
      <c r="L54" s="6"/>
      <c r="M54" s="6">
        <f ca="1">IFERROR(__xludf.DUMMYFUNCTION("""COMPUTED_VALUE"""),186)</f>
        <v>186</v>
      </c>
      <c r="N54" s="6">
        <f ca="1">IFERROR(__xludf.DUMMYFUNCTION("""COMPUTED_VALUE"""),186)</f>
        <v>186</v>
      </c>
    </row>
    <row r="55" spans="1:14" ht="12.75">
      <c r="A55" s="6" t="str">
        <f ca="1">IFERROR(__xludf.DUMMYFUNCTION("""COMPUTED_VALUE"""),"Ants Pertelson")</f>
        <v>Ants Pertelson</v>
      </c>
      <c r="B55" s="6" t="str">
        <f ca="1">IFERROR(__xludf.DUMMYFUNCTION("""COMPUTED_VALUE"""),"Tallinn")</f>
        <v>Tallinn</v>
      </c>
      <c r="C55" s="6" t="str">
        <f ca="1">IFERROR(__xludf.DUMMYFUNCTION("""COMPUTED_VALUE"""),"M")</f>
        <v>M</v>
      </c>
      <c r="D55" s="6" t="str">
        <f ca="1">IFERROR(__xludf.DUMMYFUNCTION("""COMPUTED_VALUE"""),"300m H1")</f>
        <v>300m H1</v>
      </c>
      <c r="E55" s="6" t="str">
        <f ca="1">IFERROR(__xludf.DUMMYFUNCTION("""COMPUTED_VALUE"""),"Individuaalne")</f>
        <v>Individuaalne</v>
      </c>
      <c r="F55" s="6" t="str">
        <f ca="1">IFERROR(__xludf.DUMMYFUNCTION("""COMPUTED_VALUE"""),"09.09.23")</f>
        <v>09.09.23</v>
      </c>
      <c r="G55" s="6">
        <f ca="1">IFERROR(__xludf.DUMMYFUNCTION("""COMPUTED_VALUE"""),65)</f>
        <v>65</v>
      </c>
      <c r="H55" s="6">
        <f ca="1">IFERROR(__xludf.DUMMYFUNCTION("""COMPUTED_VALUE"""),62)</f>
        <v>62</v>
      </c>
      <c r="I55" s="6">
        <f ca="1">IFERROR(__xludf.DUMMYFUNCTION("""COMPUTED_VALUE"""),56)</f>
        <v>56</v>
      </c>
      <c r="J55" s="6"/>
      <c r="K55" s="6"/>
      <c r="L55" s="6"/>
      <c r="M55" s="6">
        <f ca="1">IFERROR(__xludf.DUMMYFUNCTION("""COMPUTED_VALUE"""),183)</f>
        <v>183</v>
      </c>
      <c r="N55" s="6"/>
    </row>
    <row r="56" spans="1:14" ht="12.75">
      <c r="A56" s="6" t="str">
        <f ca="1">IFERROR(__xludf.DUMMYFUNCTION("""COMPUTED_VALUE"""),"Martin Valk")</f>
        <v>Martin Valk</v>
      </c>
      <c r="B56" s="6" t="str">
        <f ca="1">IFERROR(__xludf.DUMMYFUNCTION("""COMPUTED_VALUE"""),"Lääne")</f>
        <v>Lääne</v>
      </c>
      <c r="C56" s="6" t="str">
        <f ca="1">IFERROR(__xludf.DUMMYFUNCTION("""COMPUTED_VALUE"""),"M")</f>
        <v>M</v>
      </c>
      <c r="D56" s="6" t="str">
        <f ca="1">IFERROR(__xludf.DUMMYFUNCTION("""COMPUTED_VALUE"""),"300m H1")</f>
        <v>300m H1</v>
      </c>
      <c r="E56" s="6" t="str">
        <f ca="1">IFERROR(__xludf.DUMMYFUNCTION("""COMPUTED_VALUE"""),"Võistkond")</f>
        <v>Võistkond</v>
      </c>
      <c r="F56" s="6" t="str">
        <f ca="1">IFERROR(__xludf.DUMMYFUNCTION("""COMPUTED_VALUE"""),"10.09.23")</f>
        <v>10.09.23</v>
      </c>
      <c r="G56" s="6">
        <f ca="1">IFERROR(__xludf.DUMMYFUNCTION("""COMPUTED_VALUE"""),63)</f>
        <v>63</v>
      </c>
      <c r="H56" s="6">
        <f ca="1">IFERROR(__xludf.DUMMYFUNCTION("""COMPUTED_VALUE"""),60)</f>
        <v>60</v>
      </c>
      <c r="I56" s="6">
        <f ca="1">IFERROR(__xludf.DUMMYFUNCTION("""COMPUTED_VALUE"""),57)</f>
        <v>57</v>
      </c>
      <c r="J56" s="6"/>
      <c r="K56" s="6"/>
      <c r="L56" s="6"/>
      <c r="M56" s="6">
        <f ca="1">IFERROR(__xludf.DUMMYFUNCTION("""COMPUTED_VALUE"""),180)</f>
        <v>180</v>
      </c>
      <c r="N56" s="6">
        <f ca="1">IFERROR(__xludf.DUMMYFUNCTION("""COMPUTED_VALUE"""),180)</f>
        <v>180</v>
      </c>
    </row>
    <row r="57" spans="1:14" ht="12.75">
      <c r="A57" s="6" t="str">
        <f ca="1">IFERROR(__xludf.DUMMYFUNCTION("""COMPUTED_VALUE"""),"Kristi Mets")</f>
        <v>Kristi Mets</v>
      </c>
      <c r="B57" s="6" t="str">
        <f ca="1">IFERROR(__xludf.DUMMYFUNCTION("""COMPUTED_VALUE"""),"Harju")</f>
        <v>Harju</v>
      </c>
      <c r="C57" s="6" t="str">
        <f ca="1">IFERROR(__xludf.DUMMYFUNCTION("""COMPUTED_VALUE"""),"N")</f>
        <v>N</v>
      </c>
      <c r="D57" s="6" t="str">
        <f ca="1">IFERROR(__xludf.DUMMYFUNCTION("""COMPUTED_VALUE"""),"300m H1")</f>
        <v>300m H1</v>
      </c>
      <c r="E57" s="6" t="str">
        <f ca="1">IFERROR(__xludf.DUMMYFUNCTION("""COMPUTED_VALUE"""),"Võistkond")</f>
        <v>Võistkond</v>
      </c>
      <c r="F57" s="6" t="str">
        <f ca="1">IFERROR(__xludf.DUMMYFUNCTION("""COMPUTED_VALUE"""),"10.09.23")</f>
        <v>10.09.23</v>
      </c>
      <c r="G57" s="6">
        <f ca="1">IFERROR(__xludf.DUMMYFUNCTION("""COMPUTED_VALUE"""),55)</f>
        <v>55</v>
      </c>
      <c r="H57" s="6">
        <f ca="1">IFERROR(__xludf.DUMMYFUNCTION("""COMPUTED_VALUE"""),62)</f>
        <v>62</v>
      </c>
      <c r="I57" s="6">
        <f ca="1">IFERROR(__xludf.DUMMYFUNCTION("""COMPUTED_VALUE"""),56)</f>
        <v>56</v>
      </c>
      <c r="J57" s="6"/>
      <c r="K57" s="6"/>
      <c r="L57" s="6"/>
      <c r="M57" s="6">
        <f ca="1">IFERROR(__xludf.DUMMYFUNCTION("""COMPUTED_VALUE"""),173)</f>
        <v>173</v>
      </c>
      <c r="N57" s="6">
        <f ca="1">IFERROR(__xludf.DUMMYFUNCTION("""COMPUTED_VALUE"""),173)</f>
        <v>173</v>
      </c>
    </row>
    <row r="58" spans="1:14" ht="12.75">
      <c r="A58" s="6" t="str">
        <f ca="1">IFERROR(__xludf.DUMMYFUNCTION("""COMPUTED_VALUE"""),"Olavi Kask")</f>
        <v>Olavi Kask</v>
      </c>
      <c r="B58" s="6" t="str">
        <f ca="1">IFERROR(__xludf.DUMMYFUNCTION("""COMPUTED_VALUE"""),"Tartu")</f>
        <v>Tartu</v>
      </c>
      <c r="C58" s="6" t="str">
        <f ca="1">IFERROR(__xludf.DUMMYFUNCTION("""COMPUTED_VALUE"""),"M")</f>
        <v>M</v>
      </c>
      <c r="D58" s="6" t="str">
        <f ca="1">IFERROR(__xludf.DUMMYFUNCTION("""COMPUTED_VALUE"""),"300m H1")</f>
        <v>300m H1</v>
      </c>
      <c r="E58" s="6" t="str">
        <f ca="1">IFERROR(__xludf.DUMMYFUNCTION("""COMPUTED_VALUE"""),"Individuaalne")</f>
        <v>Individuaalne</v>
      </c>
      <c r="F58" s="6" t="str">
        <f ca="1">IFERROR(__xludf.DUMMYFUNCTION("""COMPUTED_VALUE"""),"10.09.23")</f>
        <v>10.09.23</v>
      </c>
      <c r="G58" s="6">
        <f ca="1">IFERROR(__xludf.DUMMYFUNCTION("""COMPUTED_VALUE"""),56)</f>
        <v>56</v>
      </c>
      <c r="H58" s="6">
        <f ca="1">IFERROR(__xludf.DUMMYFUNCTION("""COMPUTED_VALUE"""),53)</f>
        <v>53</v>
      </c>
      <c r="I58" s="6">
        <f ca="1">IFERROR(__xludf.DUMMYFUNCTION("""COMPUTED_VALUE"""),60)</f>
        <v>60</v>
      </c>
      <c r="J58" s="6"/>
      <c r="K58" s="6"/>
      <c r="L58" s="6"/>
      <c r="M58" s="6">
        <f ca="1">IFERROR(__xludf.DUMMYFUNCTION("""COMPUTED_VALUE"""),169)</f>
        <v>169</v>
      </c>
      <c r="N58" s="6"/>
    </row>
    <row r="59" spans="1:14" ht="12.75">
      <c r="A59" s="6" t="str">
        <f ca="1">IFERROR(__xludf.DUMMYFUNCTION("""COMPUTED_VALUE"""),"Carmen Kägo")</f>
        <v>Carmen Kägo</v>
      </c>
      <c r="B59" s="6" t="str">
        <f ca="1">IFERROR(__xludf.DUMMYFUNCTION("""COMPUTED_VALUE"""),"Põlva")</f>
        <v>Põlva</v>
      </c>
      <c r="C59" s="6" t="str">
        <f ca="1">IFERROR(__xludf.DUMMYFUNCTION("""COMPUTED_VALUE"""),"N")</f>
        <v>N</v>
      </c>
      <c r="D59" s="6" t="str">
        <f ca="1">IFERROR(__xludf.DUMMYFUNCTION("""COMPUTED_VALUE"""),"300m H1")</f>
        <v>300m H1</v>
      </c>
      <c r="E59" s="6" t="str">
        <f ca="1">IFERROR(__xludf.DUMMYFUNCTION("""COMPUTED_VALUE"""),"Võistkond")</f>
        <v>Võistkond</v>
      </c>
      <c r="F59" s="6" t="str">
        <f ca="1">IFERROR(__xludf.DUMMYFUNCTION("""COMPUTED_VALUE"""),"10.09.23")</f>
        <v>10.09.23</v>
      </c>
      <c r="G59" s="6">
        <f ca="1">IFERROR(__xludf.DUMMYFUNCTION("""COMPUTED_VALUE"""),54)</f>
        <v>54</v>
      </c>
      <c r="H59" s="6">
        <f ca="1">IFERROR(__xludf.DUMMYFUNCTION("""COMPUTED_VALUE"""),52)</f>
        <v>52</v>
      </c>
      <c r="I59" s="6">
        <f ca="1">IFERROR(__xludf.DUMMYFUNCTION("""COMPUTED_VALUE"""),59)</f>
        <v>59</v>
      </c>
      <c r="J59" s="6"/>
      <c r="K59" s="6"/>
      <c r="L59" s="6"/>
      <c r="M59" s="6">
        <f ca="1">IFERROR(__xludf.DUMMYFUNCTION("""COMPUTED_VALUE"""),165)</f>
        <v>165</v>
      </c>
      <c r="N59" s="6">
        <f ca="1">IFERROR(__xludf.DUMMYFUNCTION("""COMPUTED_VALUE"""),165)</f>
        <v>165</v>
      </c>
    </row>
    <row r="60" spans="1:14" ht="12.75">
      <c r="A60" s="6" t="str">
        <f ca="1">IFERROR(__xludf.DUMMYFUNCTION("""COMPUTED_VALUE"""),"Karin Madisson")</f>
        <v>Karin Madisson</v>
      </c>
      <c r="B60" s="6" t="str">
        <f ca="1">IFERROR(__xludf.DUMMYFUNCTION("""COMPUTED_VALUE"""),"Pärnumaa")</f>
        <v>Pärnumaa</v>
      </c>
      <c r="C60" s="6" t="str">
        <f ca="1">IFERROR(__xludf.DUMMYFUNCTION("""COMPUTED_VALUE"""),"N")</f>
        <v>N</v>
      </c>
      <c r="D60" s="6" t="str">
        <f ca="1">IFERROR(__xludf.DUMMYFUNCTION("""COMPUTED_VALUE"""),"300m H1")</f>
        <v>300m H1</v>
      </c>
      <c r="E60" s="6" t="str">
        <f ca="1">IFERROR(__xludf.DUMMYFUNCTION("""COMPUTED_VALUE"""),"Võistkond")</f>
        <v>Võistkond</v>
      </c>
      <c r="F60" s="6" t="str">
        <f ca="1">IFERROR(__xludf.DUMMYFUNCTION("""COMPUTED_VALUE"""),"09.09.23")</f>
        <v>09.09.23</v>
      </c>
      <c r="G60" s="6">
        <f ca="1">IFERROR(__xludf.DUMMYFUNCTION("""COMPUTED_VALUE"""),46)</f>
        <v>46</v>
      </c>
      <c r="H60" s="6">
        <f ca="1">IFERROR(__xludf.DUMMYFUNCTION("""COMPUTED_VALUE"""),55)</f>
        <v>55</v>
      </c>
      <c r="I60" s="6">
        <f ca="1">IFERROR(__xludf.DUMMYFUNCTION("""COMPUTED_VALUE"""),61)</f>
        <v>61</v>
      </c>
      <c r="J60" s="6"/>
      <c r="K60" s="6"/>
      <c r="L60" s="6"/>
      <c r="M60" s="6">
        <f ca="1">IFERROR(__xludf.DUMMYFUNCTION("""COMPUTED_VALUE"""),162)</f>
        <v>162</v>
      </c>
      <c r="N60" s="6">
        <f ca="1">IFERROR(__xludf.DUMMYFUNCTION("""COMPUTED_VALUE"""),162)</f>
        <v>162</v>
      </c>
    </row>
    <row r="61" spans="1:14" ht="12.75">
      <c r="A61" s="6" t="str">
        <f ca="1">IFERROR(__xludf.DUMMYFUNCTION("""COMPUTED_VALUE"""),"Margus Riso")</f>
        <v>Margus Riso</v>
      </c>
      <c r="B61" s="6" t="str">
        <f ca="1">IFERROR(__xludf.DUMMYFUNCTION("""COMPUTED_VALUE"""),"Harju")</f>
        <v>Harju</v>
      </c>
      <c r="C61" s="6" t="str">
        <f ca="1">IFERROR(__xludf.DUMMYFUNCTION("""COMPUTED_VALUE"""),"M")</f>
        <v>M</v>
      </c>
      <c r="D61" s="6" t="str">
        <f ca="1">IFERROR(__xludf.DUMMYFUNCTION("""COMPUTED_VALUE"""),"300m H1")</f>
        <v>300m H1</v>
      </c>
      <c r="E61" s="6" t="str">
        <f ca="1">IFERROR(__xludf.DUMMYFUNCTION("""COMPUTED_VALUE"""),"Individuaalne")</f>
        <v>Individuaalne</v>
      </c>
      <c r="F61" s="6" t="str">
        <f ca="1">IFERROR(__xludf.DUMMYFUNCTION("""COMPUTED_VALUE"""),"10.09.23")</f>
        <v>10.09.23</v>
      </c>
      <c r="G61" s="6">
        <f ca="1">IFERROR(__xludf.DUMMYFUNCTION("""COMPUTED_VALUE"""),58)</f>
        <v>58</v>
      </c>
      <c r="H61" s="6">
        <f ca="1">IFERROR(__xludf.DUMMYFUNCTION("""COMPUTED_VALUE"""),46)</f>
        <v>46</v>
      </c>
      <c r="I61" s="6">
        <f ca="1">IFERROR(__xludf.DUMMYFUNCTION("""COMPUTED_VALUE"""),57)</f>
        <v>57</v>
      </c>
      <c r="J61" s="6"/>
      <c r="K61" s="6"/>
      <c r="L61" s="6"/>
      <c r="M61" s="6">
        <f ca="1">IFERROR(__xludf.DUMMYFUNCTION("""COMPUTED_VALUE"""),161)</f>
        <v>161</v>
      </c>
      <c r="N61" s="6"/>
    </row>
    <row r="62" spans="1:14" ht="12.75">
      <c r="A62" s="6" t="str">
        <f ca="1">IFERROR(__xludf.DUMMYFUNCTION("""COMPUTED_VALUE"""),"Kert Kreem")</f>
        <v>Kert Kreem</v>
      </c>
      <c r="B62" s="6" t="str">
        <f ca="1">IFERROR(__xludf.DUMMYFUNCTION("""COMPUTED_VALUE"""),"Saaremaa")</f>
        <v>Saaremaa</v>
      </c>
      <c r="C62" s="6" t="str">
        <f ca="1">IFERROR(__xludf.DUMMYFUNCTION("""COMPUTED_VALUE"""),"M")</f>
        <v>M</v>
      </c>
      <c r="D62" s="6" t="str">
        <f ca="1">IFERROR(__xludf.DUMMYFUNCTION("""COMPUTED_VALUE"""),"300m H1")</f>
        <v>300m H1</v>
      </c>
      <c r="E62" s="6" t="str">
        <f ca="1">IFERROR(__xludf.DUMMYFUNCTION("""COMPUTED_VALUE"""),"Võistkond")</f>
        <v>Võistkond</v>
      </c>
      <c r="F62" s="6" t="str">
        <f ca="1">IFERROR(__xludf.DUMMYFUNCTION("""COMPUTED_VALUE"""),"09.09.23")</f>
        <v>09.09.23</v>
      </c>
      <c r="G62" s="6">
        <f ca="1">IFERROR(__xludf.DUMMYFUNCTION("""COMPUTED_VALUE"""),51)</f>
        <v>51</v>
      </c>
      <c r="H62" s="6">
        <f ca="1">IFERROR(__xludf.DUMMYFUNCTION("""COMPUTED_VALUE"""),53)</f>
        <v>53</v>
      </c>
      <c r="I62" s="6">
        <f ca="1">IFERROR(__xludf.DUMMYFUNCTION("""COMPUTED_VALUE"""),49)</f>
        <v>49</v>
      </c>
      <c r="J62" s="6"/>
      <c r="K62" s="6"/>
      <c r="L62" s="6"/>
      <c r="M62" s="6">
        <f ca="1">IFERROR(__xludf.DUMMYFUNCTION("""COMPUTED_VALUE"""),153)</f>
        <v>153</v>
      </c>
      <c r="N62" s="6">
        <f ca="1">IFERROR(__xludf.DUMMYFUNCTION("""COMPUTED_VALUE"""),153)</f>
        <v>153</v>
      </c>
    </row>
    <row r="63" spans="1:14" ht="12.75">
      <c r="A63" s="6" t="str">
        <f ca="1">IFERROR(__xludf.DUMMYFUNCTION("""COMPUTED_VALUE"""),"Oksana Leesik")</f>
        <v>Oksana Leesik</v>
      </c>
      <c r="B63" s="6" t="str">
        <f ca="1">IFERROR(__xludf.DUMMYFUNCTION("""COMPUTED_VALUE"""),"Valgamaa")</f>
        <v>Valgamaa</v>
      </c>
      <c r="C63" s="6" t="str">
        <f ca="1">IFERROR(__xludf.DUMMYFUNCTION("""COMPUTED_VALUE"""),"N")</f>
        <v>N</v>
      </c>
      <c r="D63" s="6" t="str">
        <f ca="1">IFERROR(__xludf.DUMMYFUNCTION("""COMPUTED_VALUE"""),"300m H1")</f>
        <v>300m H1</v>
      </c>
      <c r="E63" s="6" t="str">
        <f ca="1">IFERROR(__xludf.DUMMYFUNCTION("""COMPUTED_VALUE"""),"Võistkond")</f>
        <v>Võistkond</v>
      </c>
      <c r="F63" s="6" t="str">
        <f ca="1">IFERROR(__xludf.DUMMYFUNCTION("""COMPUTED_VALUE"""),"09.09.23")</f>
        <v>09.09.23</v>
      </c>
      <c r="G63" s="6">
        <f ca="1">IFERROR(__xludf.DUMMYFUNCTION("""COMPUTED_VALUE"""),30)</f>
        <v>30</v>
      </c>
      <c r="H63" s="6">
        <f ca="1">IFERROR(__xludf.DUMMYFUNCTION("""COMPUTED_VALUE"""),63)</f>
        <v>63</v>
      </c>
      <c r="I63" s="6">
        <f ca="1">IFERROR(__xludf.DUMMYFUNCTION("""COMPUTED_VALUE"""),59)</f>
        <v>59</v>
      </c>
      <c r="J63" s="6"/>
      <c r="K63" s="6"/>
      <c r="L63" s="6"/>
      <c r="M63" s="6">
        <f ca="1">IFERROR(__xludf.DUMMYFUNCTION("""COMPUTED_VALUE"""),152)</f>
        <v>152</v>
      </c>
      <c r="N63" s="6">
        <f ca="1">IFERROR(__xludf.DUMMYFUNCTION("""COMPUTED_VALUE"""),152)</f>
        <v>152</v>
      </c>
    </row>
    <row r="64" spans="1:14" ht="12.75">
      <c r="A64" s="6" t="str">
        <f ca="1">IFERROR(__xludf.DUMMYFUNCTION("""COMPUTED_VALUE"""),"Kristel Kaasiku")</f>
        <v>Kristel Kaasiku</v>
      </c>
      <c r="B64" s="6" t="str">
        <f ca="1">IFERROR(__xludf.DUMMYFUNCTION("""COMPUTED_VALUE"""),"Rapla")</f>
        <v>Rapla</v>
      </c>
      <c r="C64" s="6" t="str">
        <f ca="1">IFERROR(__xludf.DUMMYFUNCTION("""COMPUTED_VALUE"""),"N")</f>
        <v>N</v>
      </c>
      <c r="D64" s="6" t="str">
        <f ca="1">IFERROR(__xludf.DUMMYFUNCTION("""COMPUTED_VALUE"""),"300m H1")</f>
        <v>300m H1</v>
      </c>
      <c r="E64" s="6" t="str">
        <f ca="1">IFERROR(__xludf.DUMMYFUNCTION("""COMPUTED_VALUE"""),"Võistkond")</f>
        <v>Võistkond</v>
      </c>
      <c r="F64" s="6" t="str">
        <f ca="1">IFERROR(__xludf.DUMMYFUNCTION("""COMPUTED_VALUE"""),"10.09.23")</f>
        <v>10.09.23</v>
      </c>
      <c r="G64" s="6">
        <f ca="1">IFERROR(__xludf.DUMMYFUNCTION("""COMPUTED_VALUE"""),43)</f>
        <v>43</v>
      </c>
      <c r="H64" s="6">
        <f ca="1">IFERROR(__xludf.DUMMYFUNCTION("""COMPUTED_VALUE"""),52)</f>
        <v>52</v>
      </c>
      <c r="I64" s="6">
        <f ca="1">IFERROR(__xludf.DUMMYFUNCTION("""COMPUTED_VALUE"""),50)</f>
        <v>50</v>
      </c>
      <c r="J64" s="6"/>
      <c r="K64" s="6"/>
      <c r="L64" s="6"/>
      <c r="M64" s="6">
        <f ca="1">IFERROR(__xludf.DUMMYFUNCTION("""COMPUTED_VALUE"""),145)</f>
        <v>145</v>
      </c>
      <c r="N64" s="6">
        <f ca="1">IFERROR(__xludf.DUMMYFUNCTION("""COMPUTED_VALUE"""),145)</f>
        <v>145</v>
      </c>
    </row>
    <row r="65" spans="1:14" ht="12.75">
      <c r="A65" s="6" t="str">
        <f ca="1">IFERROR(__xludf.DUMMYFUNCTION("""COMPUTED_VALUE"""),"Andre Kirbits")</f>
        <v>Andre Kirbits</v>
      </c>
      <c r="B65" s="6" t="str">
        <f ca="1">IFERROR(__xludf.DUMMYFUNCTION("""COMPUTED_VALUE"""),"Valgamaa")</f>
        <v>Valgamaa</v>
      </c>
      <c r="C65" s="6" t="str">
        <f ca="1">IFERROR(__xludf.DUMMYFUNCTION("""COMPUTED_VALUE"""),"M")</f>
        <v>M</v>
      </c>
      <c r="D65" s="6" t="str">
        <f ca="1">IFERROR(__xludf.DUMMYFUNCTION("""COMPUTED_VALUE"""),"300m H1")</f>
        <v>300m H1</v>
      </c>
      <c r="E65" s="6" t="str">
        <f ca="1">IFERROR(__xludf.DUMMYFUNCTION("""COMPUTED_VALUE"""),"Individuaalne")</f>
        <v>Individuaalne</v>
      </c>
      <c r="F65" s="6" t="str">
        <f ca="1">IFERROR(__xludf.DUMMYFUNCTION("""COMPUTED_VALUE"""),"09.09.23")</f>
        <v>09.09.23</v>
      </c>
      <c r="G65" s="6">
        <f ca="1">IFERROR(__xludf.DUMMYFUNCTION("""COMPUTED_VALUE"""),67)</f>
        <v>67</v>
      </c>
      <c r="H65" s="6">
        <f ca="1">IFERROR(__xludf.DUMMYFUNCTION("""COMPUTED_VALUE"""),42)</f>
        <v>42</v>
      </c>
      <c r="I65" s="6">
        <f ca="1">IFERROR(__xludf.DUMMYFUNCTION("""COMPUTED_VALUE"""),31)</f>
        <v>31</v>
      </c>
      <c r="J65" s="6"/>
      <c r="K65" s="6"/>
      <c r="L65" s="6"/>
      <c r="M65" s="6">
        <f ca="1">IFERROR(__xludf.DUMMYFUNCTION("""COMPUTED_VALUE"""),140)</f>
        <v>140</v>
      </c>
      <c r="N65" s="6"/>
    </row>
    <row r="66" spans="1:14" ht="12.75">
      <c r="A66" s="6" t="str">
        <f ca="1">IFERROR(__xludf.DUMMYFUNCTION("""COMPUTED_VALUE"""),"Urmas Kõonurm")</f>
        <v>Urmas Kõonurm</v>
      </c>
      <c r="B66" s="6" t="str">
        <f ca="1">IFERROR(__xludf.DUMMYFUNCTION("""COMPUTED_VALUE"""),"Järva")</f>
        <v>Järva</v>
      </c>
      <c r="C66" s="6" t="str">
        <f ca="1">IFERROR(__xludf.DUMMYFUNCTION("""COMPUTED_VALUE"""),"M")</f>
        <v>M</v>
      </c>
      <c r="D66" s="6" t="str">
        <f ca="1">IFERROR(__xludf.DUMMYFUNCTION("""COMPUTED_VALUE"""),"300m H1")</f>
        <v>300m H1</v>
      </c>
      <c r="E66" s="6" t="str">
        <f ca="1">IFERROR(__xludf.DUMMYFUNCTION("""COMPUTED_VALUE"""),"Individuaalne")</f>
        <v>Individuaalne</v>
      </c>
      <c r="F66" s="6" t="str">
        <f ca="1">IFERROR(__xludf.DUMMYFUNCTION("""COMPUTED_VALUE"""),"09.09.23")</f>
        <v>09.09.23</v>
      </c>
      <c r="G66" s="6">
        <f ca="1">IFERROR(__xludf.DUMMYFUNCTION("""COMPUTED_VALUE"""),76)</f>
        <v>76</v>
      </c>
      <c r="H66" s="6">
        <f ca="1">IFERROR(__xludf.DUMMYFUNCTION("""COMPUTED_VALUE"""),50)</f>
        <v>50</v>
      </c>
      <c r="I66" s="6">
        <f ca="1">IFERROR(__xludf.DUMMYFUNCTION("""COMPUTED_VALUE"""),11)</f>
        <v>11</v>
      </c>
      <c r="J66" s="6"/>
      <c r="K66" s="6"/>
      <c r="L66" s="6"/>
      <c r="M66" s="6">
        <f ca="1">IFERROR(__xludf.DUMMYFUNCTION("""COMPUTED_VALUE"""),137)</f>
        <v>137</v>
      </c>
      <c r="N66" s="6"/>
    </row>
    <row r="67" spans="1:14" ht="12.75">
      <c r="A67" s="6" t="str">
        <f ca="1">IFERROR(__xludf.DUMMYFUNCTION("""COMPUTED_VALUE"""),"Heli Hiiemäe")</f>
        <v>Heli Hiiemäe</v>
      </c>
      <c r="B67" s="6" t="str">
        <f ca="1">IFERROR(__xludf.DUMMYFUNCTION("""COMPUTED_VALUE"""),"Järva")</f>
        <v>Järva</v>
      </c>
      <c r="C67" s="6" t="str">
        <f ca="1">IFERROR(__xludf.DUMMYFUNCTION("""COMPUTED_VALUE"""),"N")</f>
        <v>N</v>
      </c>
      <c r="D67" s="6" t="str">
        <f ca="1">IFERROR(__xludf.DUMMYFUNCTION("""COMPUTED_VALUE"""),"300m H1")</f>
        <v>300m H1</v>
      </c>
      <c r="E67" s="6" t="str">
        <f ca="1">IFERROR(__xludf.DUMMYFUNCTION("""COMPUTED_VALUE"""),"Võistkond")</f>
        <v>Võistkond</v>
      </c>
      <c r="F67" s="6" t="str">
        <f ca="1">IFERROR(__xludf.DUMMYFUNCTION("""COMPUTED_VALUE"""),"09.09.23")</f>
        <v>09.09.23</v>
      </c>
      <c r="G67" s="6">
        <f ca="1">IFERROR(__xludf.DUMMYFUNCTION("""COMPUTED_VALUE"""),39)</f>
        <v>39</v>
      </c>
      <c r="H67" s="6">
        <f ca="1">IFERROR(__xludf.DUMMYFUNCTION("""COMPUTED_VALUE"""),49)</f>
        <v>49</v>
      </c>
      <c r="I67" s="6">
        <f ca="1">IFERROR(__xludf.DUMMYFUNCTION("""COMPUTED_VALUE"""),45)</f>
        <v>45</v>
      </c>
      <c r="J67" s="6"/>
      <c r="K67" s="6"/>
      <c r="L67" s="6"/>
      <c r="M67" s="6">
        <f ca="1">IFERROR(__xludf.DUMMYFUNCTION("""COMPUTED_VALUE"""),133)</f>
        <v>133</v>
      </c>
      <c r="N67" s="6">
        <f ca="1">IFERROR(__xludf.DUMMYFUNCTION("""COMPUTED_VALUE"""),133)</f>
        <v>133</v>
      </c>
    </row>
    <row r="68" spans="1:14" ht="12.75">
      <c r="A68" s="6" t="str">
        <f ca="1">IFERROR(__xludf.DUMMYFUNCTION("""COMPUTED_VALUE"""),"Laura Lees")</f>
        <v>Laura Lees</v>
      </c>
      <c r="B68" s="6" t="str">
        <f ca="1">IFERROR(__xludf.DUMMYFUNCTION("""COMPUTED_VALUE"""),"Võrumaa")</f>
        <v>Võrumaa</v>
      </c>
      <c r="C68" s="6" t="str">
        <f ca="1">IFERROR(__xludf.DUMMYFUNCTION("""COMPUTED_VALUE"""),"N")</f>
        <v>N</v>
      </c>
      <c r="D68" s="6" t="str">
        <f ca="1">IFERROR(__xludf.DUMMYFUNCTION("""COMPUTED_VALUE"""),"300m H1")</f>
        <v>300m H1</v>
      </c>
      <c r="E68" s="6" t="str">
        <f ca="1">IFERROR(__xludf.DUMMYFUNCTION("""COMPUTED_VALUE"""),"Individuaalne")</f>
        <v>Individuaalne</v>
      </c>
      <c r="F68" s="6" t="str">
        <f ca="1">IFERROR(__xludf.DUMMYFUNCTION("""COMPUTED_VALUE"""),"10.09.23")</f>
        <v>10.09.23</v>
      </c>
      <c r="G68" s="6">
        <f ca="1">IFERROR(__xludf.DUMMYFUNCTION("""COMPUTED_VALUE"""),31)</f>
        <v>31</v>
      </c>
      <c r="H68" s="6">
        <f ca="1">IFERROR(__xludf.DUMMYFUNCTION("""COMPUTED_VALUE"""),47)</f>
        <v>47</v>
      </c>
      <c r="I68" s="6">
        <f ca="1">IFERROR(__xludf.DUMMYFUNCTION("""COMPUTED_VALUE"""),11)</f>
        <v>11</v>
      </c>
      <c r="J68" s="6"/>
      <c r="K68" s="6"/>
      <c r="L68" s="6"/>
      <c r="M68" s="6">
        <f ca="1">IFERROR(__xludf.DUMMYFUNCTION("""COMPUTED_VALUE"""),89)</f>
        <v>89</v>
      </c>
      <c r="N68" s="6"/>
    </row>
    <row r="69" spans="1:14" ht="12.75">
      <c r="A69" s="6" t="str">
        <f ca="1">IFERROR(__xludf.DUMMYFUNCTION("""COMPUTED_VALUE"""),"Ruth Maadla")</f>
        <v>Ruth Maadla</v>
      </c>
      <c r="B69" s="6" t="str">
        <f ca="1">IFERROR(__xludf.DUMMYFUNCTION("""COMPUTED_VALUE"""),"Võrumaa")</f>
        <v>Võrumaa</v>
      </c>
      <c r="C69" s="6" t="str">
        <f ca="1">IFERROR(__xludf.DUMMYFUNCTION("""COMPUTED_VALUE"""),"N")</f>
        <v>N</v>
      </c>
      <c r="D69" s="6" t="str">
        <f ca="1">IFERROR(__xludf.DUMMYFUNCTION("""COMPUTED_VALUE"""),"300m H1")</f>
        <v>300m H1</v>
      </c>
      <c r="E69" s="6" t="str">
        <f ca="1">IFERROR(__xludf.DUMMYFUNCTION("""COMPUTED_VALUE"""),"Võistkond")</f>
        <v>Võistkond</v>
      </c>
      <c r="F69" s="6" t="str">
        <f ca="1">IFERROR(__xludf.DUMMYFUNCTION("""COMPUTED_VALUE"""),"10.09.23")</f>
        <v>10.09.23</v>
      </c>
      <c r="G69" s="6">
        <f ca="1">IFERROR(__xludf.DUMMYFUNCTION("""COMPUTED_VALUE"""),14)</f>
        <v>14</v>
      </c>
      <c r="H69" s="6">
        <f ca="1">IFERROR(__xludf.DUMMYFUNCTION("""COMPUTED_VALUE"""),38)</f>
        <v>38</v>
      </c>
      <c r="I69" s="6">
        <f ca="1">IFERROR(__xludf.DUMMYFUNCTION("""COMPUTED_VALUE"""),19)</f>
        <v>19</v>
      </c>
      <c r="J69" s="6"/>
      <c r="K69" s="6"/>
      <c r="L69" s="6"/>
      <c r="M69" s="6">
        <f ca="1">IFERROR(__xludf.DUMMYFUNCTION("""COMPUTED_VALUE"""),71)</f>
        <v>71</v>
      </c>
      <c r="N69" s="6">
        <f ca="1">IFERROR(__xludf.DUMMYFUNCTION("""COMPUTED_VALUE"""),71)</f>
        <v>71</v>
      </c>
    </row>
    <row r="70" spans="1:14" ht="12.75">
      <c r="A70" s="6" t="str">
        <f ca="1">IFERROR(__xludf.DUMMYFUNCTION("""COMPUTED_VALUE"""),"Meelis Sinijärv")</f>
        <v>Meelis Sinijärv</v>
      </c>
      <c r="B70" s="6" t="str">
        <f ca="1">IFERROR(__xludf.DUMMYFUNCTION("""COMPUTED_VALUE"""),"Pärnumaa")</f>
        <v>Pärnumaa</v>
      </c>
      <c r="C70" s="6" t="str">
        <f ca="1">IFERROR(__xludf.DUMMYFUNCTION("""COMPUTED_VALUE"""),"M")</f>
        <v>M</v>
      </c>
      <c r="D70" s="6" t="str">
        <f ca="1">IFERROR(__xludf.DUMMYFUNCTION("""COMPUTED_VALUE"""),"300m H1")</f>
        <v>300m H1</v>
      </c>
      <c r="E70" s="6" t="str">
        <f ca="1">IFERROR(__xludf.DUMMYFUNCTION("""COMPUTED_VALUE"""),"Individuaalne")</f>
        <v>Individuaalne</v>
      </c>
      <c r="F70" s="6" t="str">
        <f ca="1">IFERROR(__xludf.DUMMYFUNCTION("""COMPUTED_VALUE"""),"09.09.23")</f>
        <v>09.09.23</v>
      </c>
      <c r="G70" s="6">
        <f ca="1">IFERROR(__xludf.DUMMYFUNCTION("""COMPUTED_VALUE"""),62)</f>
        <v>62</v>
      </c>
      <c r="H70" s="6">
        <f ca="1">IFERROR(__xludf.DUMMYFUNCTION("""COMPUTED_VALUE"""),71)</f>
        <v>71</v>
      </c>
      <c r="I70" s="6">
        <f ca="1">IFERROR(__xludf.DUMMYFUNCTION("""COMPUTED_VALUE"""),78)</f>
        <v>78</v>
      </c>
      <c r="J70" s="6"/>
      <c r="K70" s="6"/>
      <c r="L70" s="6"/>
      <c r="M70" s="6"/>
      <c r="N70" s="6"/>
    </row>
  </sheetData>
  <customSheetViews>
    <customSheetView guid="{C6C5E855-7C77-4921-8F13-A733EE6303FA}" filter="1" showAutoFilter="1">
      <pageMargins left="0.7" right="0.7" top="0.75" bottom="0.75" header="0.3" footer="0.3"/>
      <autoFilter ref="A2:N1000" xr:uid="{6FB2F752-BCF3-44F1-8B69-202B34202F70}">
        <filterColumn colId="2">
          <filters blank="1">
            <filter val="M"/>
          </filters>
        </filterColumn>
        <filterColumn colId="3">
          <filters>
            <filter val="300m H1"/>
          </filters>
        </filterColumn>
      </autoFilter>
    </customSheetView>
    <customSheetView guid="{845FBECC-592C-4475-9184-0C9DD86A8A6D}" filter="1" showAutoFilter="1">
      <pageMargins left="0.7" right="0.7" top="0.75" bottom="0.75" header="0.3" footer="0.3"/>
      <autoFilter ref="A2:N1000" xr:uid="{C1CDE55A-F436-4B76-A4BF-86B5B55E8B4A}">
        <filterColumn colId="2">
          <filters blank="1">
            <filter val="N"/>
          </filters>
        </filterColumn>
        <filterColumn colId="3">
          <filters>
            <filter val="300m H1"/>
          </filters>
        </filterColumn>
      </autoFilter>
    </customSheetView>
  </customSheetViews>
  <mergeCells count="1"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5.85546875" customWidth="1"/>
    <col min="2" max="2" width="15" customWidth="1"/>
    <col min="3" max="3" width="8.140625" customWidth="1"/>
    <col min="4" max="4" width="9.28515625" customWidth="1"/>
    <col min="6" max="6" width="11.85546875" customWidth="1"/>
    <col min="7" max="12" width="8.85546875" customWidth="1"/>
    <col min="13" max="14" width="7.85546875" customWidth="1"/>
    <col min="15" max="16" width="8.140625" customWidth="1"/>
  </cols>
  <sheetData>
    <row r="1" spans="1:26" ht="42.75" customHeight="1">
      <c r="A1" s="8" t="s">
        <v>9</v>
      </c>
      <c r="B1" s="8"/>
      <c r="C1" s="8" t="s">
        <v>32</v>
      </c>
      <c r="D1" s="8"/>
      <c r="E1" s="8"/>
      <c r="F1" s="8"/>
      <c r="G1" s="8"/>
      <c r="H1" s="8"/>
      <c r="I1" s="8"/>
      <c r="J1" s="8"/>
      <c r="K1" s="8"/>
      <c r="L1" s="27" t="s">
        <v>31</v>
      </c>
      <c r="M1" s="28"/>
      <c r="N1" s="2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8.2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tr">
        <f ca="1">IFERROR(__xludf.DUMMYFUNCTION("SORT(FILTER(Nimekiri,ALA=A1),13,False,9,fALSE)"),"Toomas Juksaar")</f>
        <v>Toomas Juksaar</v>
      </c>
      <c r="B3" s="6" t="str">
        <f ca="1">IFERROR(__xludf.DUMMYFUNCTION("""COMPUTED_VALUE"""),"Pärnumaa")</f>
        <v>Pärnumaa</v>
      </c>
      <c r="C3" s="6" t="str">
        <f ca="1">IFERROR(__xludf.DUMMYFUNCTION("""COMPUTED_VALUE"""),"M")</f>
        <v>M</v>
      </c>
      <c r="D3" s="6" t="str">
        <f ca="1">IFERROR(__xludf.DUMMYFUNCTION("""COMPUTED_VALUE"""),"300m VABA H1V")</f>
        <v>300m VABA H1V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IFERROR(__xludf.DUMMYFUNCTION("""COMPUTED_VALUE"""),98)</f>
        <v>98</v>
      </c>
      <c r="H3" s="6">
        <f ca="1">IFERROR(__xludf.DUMMYFUNCTION("""COMPUTED_VALUE"""),99)</f>
        <v>99</v>
      </c>
      <c r="I3" s="6">
        <f ca="1">IFERROR(__xludf.DUMMYFUNCTION("""COMPUTED_VALUE"""),100)</f>
        <v>100</v>
      </c>
      <c r="J3" s="6"/>
      <c r="K3" s="6"/>
      <c r="L3" s="6"/>
      <c r="M3" s="6">
        <f ca="1">IFERROR(__xludf.DUMMYFUNCTION("""COMPUTED_VALUE"""),297)</f>
        <v>297</v>
      </c>
      <c r="N3" s="6">
        <f ca="1">IFERROR(__xludf.DUMMYFUNCTION("""COMPUTED_VALUE"""),297)</f>
        <v>297</v>
      </c>
    </row>
    <row r="4" spans="1:26" ht="12.75">
      <c r="A4" s="6" t="str">
        <f ca="1">IFERROR(__xludf.DUMMYFUNCTION("""COMPUTED_VALUE"""),"Sulev Lomp")</f>
        <v>Sulev Lomp</v>
      </c>
      <c r="B4" s="6" t="str">
        <f ca="1">IFERROR(__xludf.DUMMYFUNCTION("""COMPUTED_VALUE"""),"Tartu")</f>
        <v>Tartu</v>
      </c>
      <c r="C4" s="6" t="str">
        <f ca="1">IFERROR(__xludf.DUMMYFUNCTION("""COMPUTED_VALUE"""),"M")</f>
        <v>M</v>
      </c>
      <c r="D4" s="6" t="str">
        <f ca="1">IFERROR(__xludf.DUMMYFUNCTION("""COMPUTED_VALUE"""),"300m VABA H1V")</f>
        <v>300m VABA H1V</v>
      </c>
      <c r="E4" s="6" t="str">
        <f ca="1">IFERROR(__xludf.DUMMYFUNCTION("""COMPUTED_VALUE"""),"Võistkond")</f>
        <v>Võistkond</v>
      </c>
      <c r="F4" s="6" t="str">
        <f ca="1">IFERROR(__xludf.DUMMYFUNCTION("""COMPUTED_VALUE"""),"10.09.23")</f>
        <v>10.09.23</v>
      </c>
      <c r="G4" s="6">
        <f ca="1">IFERROR(__xludf.DUMMYFUNCTION("""COMPUTED_VALUE"""),99)</f>
        <v>99</v>
      </c>
      <c r="H4" s="6">
        <f ca="1">IFERROR(__xludf.DUMMYFUNCTION("""COMPUTED_VALUE"""),98)</f>
        <v>98</v>
      </c>
      <c r="I4" s="6">
        <f ca="1">IFERROR(__xludf.DUMMYFUNCTION("""COMPUTED_VALUE"""),100)</f>
        <v>100</v>
      </c>
      <c r="J4" s="6"/>
      <c r="K4" s="6"/>
      <c r="L4" s="6"/>
      <c r="M4" s="6">
        <f ca="1">IFERROR(__xludf.DUMMYFUNCTION("""COMPUTED_VALUE"""),297)</f>
        <v>297</v>
      </c>
      <c r="N4" s="6">
        <f ca="1">IFERROR(__xludf.DUMMYFUNCTION("""COMPUTED_VALUE"""),297)</f>
        <v>297</v>
      </c>
    </row>
    <row r="5" spans="1:26" ht="12.75">
      <c r="A5" s="6" t="str">
        <f ca="1">IFERROR(__xludf.DUMMYFUNCTION("""COMPUTED_VALUE"""),"Peeter Pops")</f>
        <v>Peeter Pops</v>
      </c>
      <c r="B5" s="6" t="str">
        <f ca="1">IFERROR(__xludf.DUMMYFUNCTION("""COMPUTED_VALUE"""),"Viru")</f>
        <v>Viru</v>
      </c>
      <c r="C5" s="6" t="str">
        <f ca="1">IFERROR(__xludf.DUMMYFUNCTION("""COMPUTED_VALUE"""),"M")</f>
        <v>M</v>
      </c>
      <c r="D5" s="6" t="str">
        <f ca="1">IFERROR(__xludf.DUMMYFUNCTION("""COMPUTED_VALUE"""),"300m VABA H1V")</f>
        <v>300m VABA H1V</v>
      </c>
      <c r="E5" s="6" t="str">
        <f ca="1">IFERROR(__xludf.DUMMYFUNCTION("""COMPUTED_VALUE"""),"Võistkond")</f>
        <v>Võistkond</v>
      </c>
      <c r="F5" s="6" t="str">
        <f ca="1">IFERROR(__xludf.DUMMYFUNCTION("""COMPUTED_VALUE"""),"10.09.23")</f>
        <v>10.09.23</v>
      </c>
      <c r="G5" s="6">
        <f ca="1">IFERROR(__xludf.DUMMYFUNCTION("""COMPUTED_VALUE"""),98)</f>
        <v>98</v>
      </c>
      <c r="H5" s="6">
        <f ca="1">IFERROR(__xludf.DUMMYFUNCTION("""COMPUTED_VALUE"""),100)</f>
        <v>100</v>
      </c>
      <c r="I5" s="6">
        <f ca="1">IFERROR(__xludf.DUMMYFUNCTION("""COMPUTED_VALUE"""),97)</f>
        <v>97</v>
      </c>
      <c r="J5" s="6"/>
      <c r="K5" s="6"/>
      <c r="L5" s="6"/>
      <c r="M5" s="6">
        <f ca="1">IFERROR(__xludf.DUMMYFUNCTION("""COMPUTED_VALUE"""),295)</f>
        <v>295</v>
      </c>
      <c r="N5" s="6">
        <f ca="1">IFERROR(__xludf.DUMMYFUNCTION("""COMPUTED_VALUE"""),295)</f>
        <v>295</v>
      </c>
    </row>
    <row r="6" spans="1:26" ht="12.75">
      <c r="A6" s="6" t="str">
        <f ca="1">IFERROR(__xludf.DUMMYFUNCTION("""COMPUTED_VALUE"""),"Tõnu Rummo")</f>
        <v>Tõnu Rummo</v>
      </c>
      <c r="B6" s="6" t="str">
        <f ca="1">IFERROR(__xludf.DUMMYFUNCTION("""COMPUTED_VALUE"""),"Viru")</f>
        <v>Viru</v>
      </c>
      <c r="C6" s="6" t="str">
        <f ca="1">IFERROR(__xludf.DUMMYFUNCTION("""COMPUTED_VALUE"""),"M")</f>
        <v>M</v>
      </c>
      <c r="D6" s="6" t="str">
        <f ca="1">IFERROR(__xludf.DUMMYFUNCTION("""COMPUTED_VALUE"""),"300m VABA H1V")</f>
        <v>300m VABA H1V</v>
      </c>
      <c r="E6" s="6" t="str">
        <f ca="1">IFERROR(__xludf.DUMMYFUNCTION("""COMPUTED_VALUE"""),"Individuaalne")</f>
        <v>Individuaalne</v>
      </c>
      <c r="F6" s="6" t="str">
        <f ca="1">IFERROR(__xludf.DUMMYFUNCTION("""COMPUTED_VALUE"""),"10.09.23")</f>
        <v>10.09.23</v>
      </c>
      <c r="G6" s="6">
        <f ca="1">IFERROR(__xludf.DUMMYFUNCTION("""COMPUTED_VALUE"""),98)</f>
        <v>98</v>
      </c>
      <c r="H6" s="6">
        <f ca="1">IFERROR(__xludf.DUMMYFUNCTION("""COMPUTED_VALUE"""),96)</f>
        <v>96</v>
      </c>
      <c r="I6" s="6">
        <f ca="1">IFERROR(__xludf.DUMMYFUNCTION("""COMPUTED_VALUE"""),99)</f>
        <v>99</v>
      </c>
      <c r="J6" s="6"/>
      <c r="K6" s="6"/>
      <c r="L6" s="6"/>
      <c r="M6" s="6">
        <f ca="1">IFERROR(__xludf.DUMMYFUNCTION("""COMPUTED_VALUE"""),293)</f>
        <v>293</v>
      </c>
      <c r="N6" s="6"/>
    </row>
    <row r="7" spans="1:26" ht="12.75">
      <c r="A7" s="6" t="str">
        <f ca="1">IFERROR(__xludf.DUMMYFUNCTION("""COMPUTED_VALUE"""),"Olev Lomp")</f>
        <v>Olev Lomp</v>
      </c>
      <c r="B7" s="6" t="str">
        <f ca="1">IFERROR(__xludf.DUMMYFUNCTION("""COMPUTED_VALUE"""),"Tartu")</f>
        <v>Tartu</v>
      </c>
      <c r="C7" s="6" t="str">
        <f ca="1">IFERROR(__xludf.DUMMYFUNCTION("""COMPUTED_VALUE"""),"M")</f>
        <v>M</v>
      </c>
      <c r="D7" s="6" t="str">
        <f ca="1">IFERROR(__xludf.DUMMYFUNCTION("""COMPUTED_VALUE"""),"300m VABA H1V")</f>
        <v>300m VABA H1V</v>
      </c>
      <c r="E7" s="6" t="str">
        <f ca="1">IFERROR(__xludf.DUMMYFUNCTION("""COMPUTED_VALUE"""),"Individuaalne")</f>
        <v>Individuaalne</v>
      </c>
      <c r="F7" s="6" t="str">
        <f ca="1">IFERROR(__xludf.DUMMYFUNCTION("""COMPUTED_VALUE"""),"10.09.23")</f>
        <v>10.09.23</v>
      </c>
      <c r="G7" s="6">
        <f ca="1">IFERROR(__xludf.DUMMYFUNCTION("""COMPUTED_VALUE"""),98)</f>
        <v>98</v>
      </c>
      <c r="H7" s="6">
        <f ca="1">IFERROR(__xludf.DUMMYFUNCTION("""COMPUTED_VALUE"""),99)</f>
        <v>99</v>
      </c>
      <c r="I7" s="6">
        <f ca="1">IFERROR(__xludf.DUMMYFUNCTION("""COMPUTED_VALUE"""),96)</f>
        <v>96</v>
      </c>
      <c r="J7" s="6"/>
      <c r="K7" s="6"/>
      <c r="L7" s="6"/>
      <c r="M7" s="6">
        <f ca="1">IFERROR(__xludf.DUMMYFUNCTION("""COMPUTED_VALUE"""),293)</f>
        <v>293</v>
      </c>
      <c r="N7" s="6"/>
    </row>
    <row r="8" spans="1:26" ht="12.75">
      <c r="A8" s="6" t="str">
        <f ca="1">IFERROR(__xludf.DUMMYFUNCTION("""COMPUTED_VALUE"""),"Andres Käär")</f>
        <v>Andres Käär</v>
      </c>
      <c r="B8" s="6" t="str">
        <f ca="1">IFERROR(__xludf.DUMMYFUNCTION("""COMPUTED_VALUE"""),"Harju")</f>
        <v>Harju</v>
      </c>
      <c r="C8" s="6" t="str">
        <f ca="1">IFERROR(__xludf.DUMMYFUNCTION("""COMPUTED_VALUE"""),"M")</f>
        <v>M</v>
      </c>
      <c r="D8" s="6" t="str">
        <f ca="1">IFERROR(__xludf.DUMMYFUNCTION("""COMPUTED_VALUE"""),"300m VABA H1V")</f>
        <v>300m VABA H1V</v>
      </c>
      <c r="E8" s="6" t="str">
        <f ca="1">IFERROR(__xludf.DUMMYFUNCTION("""COMPUTED_VALUE"""),"Võistkond")</f>
        <v>Võistkond</v>
      </c>
      <c r="F8" s="6" t="str">
        <f ca="1">IFERROR(__xludf.DUMMYFUNCTION("""COMPUTED_VALUE"""),"10.09.23")</f>
        <v>10.09.23</v>
      </c>
      <c r="G8" s="6">
        <f ca="1">IFERROR(__xludf.DUMMYFUNCTION("""COMPUTED_VALUE"""),97)</f>
        <v>97</v>
      </c>
      <c r="H8" s="6">
        <f ca="1">IFERROR(__xludf.DUMMYFUNCTION("""COMPUTED_VALUE"""),97)</f>
        <v>97</v>
      </c>
      <c r="I8" s="6">
        <f ca="1">IFERROR(__xludf.DUMMYFUNCTION("""COMPUTED_VALUE"""),96)</f>
        <v>96</v>
      </c>
      <c r="J8" s="6"/>
      <c r="K8" s="6"/>
      <c r="L8" s="6"/>
      <c r="M8" s="6">
        <f ca="1">IFERROR(__xludf.DUMMYFUNCTION("""COMPUTED_VALUE"""),290)</f>
        <v>290</v>
      </c>
      <c r="N8" s="6">
        <f ca="1">IFERROR(__xludf.DUMMYFUNCTION("""COMPUTED_VALUE"""),290)</f>
        <v>290</v>
      </c>
    </row>
    <row r="9" spans="1:26" ht="12.75">
      <c r="A9" s="6" t="str">
        <f ca="1">IFERROR(__xludf.DUMMYFUNCTION("""COMPUTED_VALUE"""),"Jaan Jänesmäe")</f>
        <v>Jaan Jänesmäe</v>
      </c>
      <c r="B9" s="6" t="str">
        <f ca="1">IFERROR(__xludf.DUMMYFUNCTION("""COMPUTED_VALUE"""),"KKÜ")</f>
        <v>KKÜ</v>
      </c>
      <c r="C9" s="6" t="str">
        <f ca="1">IFERROR(__xludf.DUMMYFUNCTION("""COMPUTED_VALUE"""),"M")</f>
        <v>M</v>
      </c>
      <c r="D9" s="6" t="str">
        <f ca="1">IFERROR(__xludf.DUMMYFUNCTION("""COMPUTED_VALUE"""),"300m VABA H1V")</f>
        <v>300m VABA H1V</v>
      </c>
      <c r="E9" s="6" t="str">
        <f ca="1">IFERROR(__xludf.DUMMYFUNCTION("""COMPUTED_VALUE"""),"Võistkond")</f>
        <v>Võistkond</v>
      </c>
      <c r="F9" s="6" t="str">
        <f ca="1">IFERROR(__xludf.DUMMYFUNCTION("""COMPUTED_VALUE"""),"09.09.23")</f>
        <v>09.09.23</v>
      </c>
      <c r="G9" s="6">
        <f ca="1">IFERROR(__xludf.DUMMYFUNCTION("""COMPUTED_VALUE"""),98)</f>
        <v>98</v>
      </c>
      <c r="H9" s="6">
        <f ca="1">IFERROR(__xludf.DUMMYFUNCTION("""COMPUTED_VALUE"""),96)</f>
        <v>96</v>
      </c>
      <c r="I9" s="6">
        <f ca="1">IFERROR(__xludf.DUMMYFUNCTION("""COMPUTED_VALUE"""),94)</f>
        <v>94</v>
      </c>
      <c r="J9" s="6"/>
      <c r="K9" s="6"/>
      <c r="L9" s="6"/>
      <c r="M9" s="6">
        <f ca="1">IFERROR(__xludf.DUMMYFUNCTION("""COMPUTED_VALUE"""),288)</f>
        <v>288</v>
      </c>
      <c r="N9" s="6">
        <f ca="1">IFERROR(__xludf.DUMMYFUNCTION("""COMPUTED_VALUE"""),288)</f>
        <v>288</v>
      </c>
    </row>
    <row r="10" spans="1:26" ht="12.75">
      <c r="A10" s="6" t="str">
        <f ca="1">IFERROR(__xludf.DUMMYFUNCTION("""COMPUTED_VALUE"""),"Rene Toomse")</f>
        <v>Rene Toomse</v>
      </c>
      <c r="B10" s="6" t="str">
        <f ca="1">IFERROR(__xludf.DUMMYFUNCTION("""COMPUTED_VALUE"""),"KL peastaap")</f>
        <v>KL peastaap</v>
      </c>
      <c r="C10" s="6" t="str">
        <f ca="1">IFERROR(__xludf.DUMMYFUNCTION("""COMPUTED_VALUE"""),"M")</f>
        <v>M</v>
      </c>
      <c r="D10" s="6" t="str">
        <f ca="1">IFERROR(__xludf.DUMMYFUNCTION("""COMPUTED_VALUE"""),"300m VABA H1V")</f>
        <v>300m VABA H1V</v>
      </c>
      <c r="E10" s="6" t="str">
        <f ca="1">IFERROR(__xludf.DUMMYFUNCTION("""COMPUTED_VALUE"""),"Võistkond")</f>
        <v>Võistkond</v>
      </c>
      <c r="F10" s="6" t="str">
        <f ca="1">IFERROR(__xludf.DUMMYFUNCTION("""COMPUTED_VALUE"""),"09.09.23")</f>
        <v>09.09.23</v>
      </c>
      <c r="G10" s="6">
        <f ca="1">IFERROR(__xludf.DUMMYFUNCTION("""COMPUTED_VALUE"""),83)</f>
        <v>83</v>
      </c>
      <c r="H10" s="6">
        <f ca="1">IFERROR(__xludf.DUMMYFUNCTION("""COMPUTED_VALUE"""),90)</f>
        <v>90</v>
      </c>
      <c r="I10" s="6">
        <f ca="1">IFERROR(__xludf.DUMMYFUNCTION("""COMPUTED_VALUE"""),94)</f>
        <v>94</v>
      </c>
      <c r="J10" s="6"/>
      <c r="K10" s="6"/>
      <c r="L10" s="6"/>
      <c r="M10" s="6">
        <f ca="1">IFERROR(__xludf.DUMMYFUNCTION("""COMPUTED_VALUE"""),267)</f>
        <v>267</v>
      </c>
      <c r="N10" s="6">
        <f ca="1">IFERROR(__xludf.DUMMYFUNCTION("""COMPUTED_VALUE"""),267)</f>
        <v>267</v>
      </c>
    </row>
    <row r="11" spans="1:26" ht="12.75">
      <c r="A11" s="6" t="str">
        <f ca="1">IFERROR(__xludf.DUMMYFUNCTION("""COMPUTED_VALUE"""),"Tõnu Kibena")</f>
        <v>Tõnu Kibena</v>
      </c>
      <c r="B11" s="6" t="str">
        <f ca="1">IFERROR(__xludf.DUMMYFUNCTION("""COMPUTED_VALUE"""),"Järva")</f>
        <v>Järva</v>
      </c>
      <c r="C11" s="6" t="str">
        <f ca="1">IFERROR(__xludf.DUMMYFUNCTION("""COMPUTED_VALUE"""),"M")</f>
        <v>M</v>
      </c>
      <c r="D11" s="6" t="str">
        <f ca="1">IFERROR(__xludf.DUMMYFUNCTION("""COMPUTED_VALUE"""),"300m VABA H1V")</f>
        <v>300m VABA H1V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IFERROR(__xludf.DUMMYFUNCTION("""COMPUTED_VALUE"""),90)</f>
        <v>90</v>
      </c>
      <c r="H11" s="6">
        <f ca="1">IFERROR(__xludf.DUMMYFUNCTION("""COMPUTED_VALUE"""),85)</f>
        <v>85</v>
      </c>
      <c r="I11" s="6">
        <f ca="1">IFERROR(__xludf.DUMMYFUNCTION("""COMPUTED_VALUE"""),92)</f>
        <v>92</v>
      </c>
      <c r="J11" s="6"/>
      <c r="K11" s="6"/>
      <c r="L11" s="6"/>
      <c r="M11" s="6">
        <f ca="1">IFERROR(__xludf.DUMMYFUNCTION("""COMPUTED_VALUE"""),267)</f>
        <v>267</v>
      </c>
      <c r="N11" s="6">
        <f ca="1">IFERROR(__xludf.DUMMYFUNCTION("""COMPUTED_VALUE"""),267)</f>
        <v>267</v>
      </c>
    </row>
    <row r="12" spans="1:26" ht="12.75">
      <c r="A12" s="6" t="str">
        <f ca="1">IFERROR(__xludf.DUMMYFUNCTION("""COMPUTED_VALUE"""),"Marko Ender")</f>
        <v>Marko Ender</v>
      </c>
      <c r="B12" s="6" t="str">
        <f ca="1">IFERROR(__xludf.DUMMYFUNCTION("""COMPUTED_VALUE"""),"Lääne")</f>
        <v>Lääne</v>
      </c>
      <c r="C12" s="6" t="str">
        <f ca="1">IFERROR(__xludf.DUMMYFUNCTION("""COMPUTED_VALUE"""),"M")</f>
        <v>M</v>
      </c>
      <c r="D12" s="6" t="str">
        <f ca="1">IFERROR(__xludf.DUMMYFUNCTION("""COMPUTED_VALUE"""),"300m VABA H1V")</f>
        <v>300m VABA H1V</v>
      </c>
      <c r="E12" s="6" t="str">
        <f ca="1">IFERROR(__xludf.DUMMYFUNCTION("""COMPUTED_VALUE"""),"Võistkond")</f>
        <v>Võistkond</v>
      </c>
      <c r="F12" s="6" t="str">
        <f ca="1">IFERROR(__xludf.DUMMYFUNCTION("""COMPUTED_VALUE"""),"10.09.23")</f>
        <v>10.09.23</v>
      </c>
      <c r="G12" s="6">
        <f ca="1">IFERROR(__xludf.DUMMYFUNCTION("""COMPUTED_VALUE"""),87)</f>
        <v>87</v>
      </c>
      <c r="H12" s="6">
        <f ca="1">IFERROR(__xludf.DUMMYFUNCTION("""COMPUTED_VALUE"""),93)</f>
        <v>93</v>
      </c>
      <c r="I12" s="6">
        <f ca="1">IFERROR(__xludf.DUMMYFUNCTION("""COMPUTED_VALUE"""),86)</f>
        <v>86</v>
      </c>
      <c r="J12" s="6"/>
      <c r="K12" s="6"/>
      <c r="L12" s="6"/>
      <c r="M12" s="6">
        <f ca="1">IFERROR(__xludf.DUMMYFUNCTION("""COMPUTED_VALUE"""),266)</f>
        <v>266</v>
      </c>
      <c r="N12" s="6">
        <f ca="1">IFERROR(__xludf.DUMMYFUNCTION("""COMPUTED_VALUE"""),266)</f>
        <v>266</v>
      </c>
    </row>
    <row r="13" spans="1:26" ht="12.75">
      <c r="A13" s="6" t="str">
        <f ca="1">IFERROR(__xludf.DUMMYFUNCTION("""COMPUTED_VALUE"""),"Daimar Elp")</f>
        <v>Daimar Elp</v>
      </c>
      <c r="B13" s="6" t="str">
        <f ca="1">IFERROR(__xludf.DUMMYFUNCTION("""COMPUTED_VALUE"""),"Tartu")</f>
        <v>Tartu</v>
      </c>
      <c r="C13" s="6" t="str">
        <f ca="1">IFERROR(__xludf.DUMMYFUNCTION("""COMPUTED_VALUE"""),"M")</f>
        <v>M</v>
      </c>
      <c r="D13" s="6" t="str">
        <f ca="1">IFERROR(__xludf.DUMMYFUNCTION("""COMPUTED_VALUE"""),"300m VABA H1V")</f>
        <v>300m VABA H1V</v>
      </c>
      <c r="E13" s="6" t="str">
        <f ca="1">IFERROR(__xludf.DUMMYFUNCTION("""COMPUTED_VALUE"""),"Individuaalne")</f>
        <v>Individuaalne</v>
      </c>
      <c r="F13" s="6" t="str">
        <f ca="1">IFERROR(__xludf.DUMMYFUNCTION("""COMPUTED_VALUE"""),"10.09.23")</f>
        <v>10.09.23</v>
      </c>
      <c r="G13" s="6">
        <f ca="1">IFERROR(__xludf.DUMMYFUNCTION("""COMPUTED_VALUE"""),84)</f>
        <v>84</v>
      </c>
      <c r="H13" s="6">
        <f ca="1">IFERROR(__xludf.DUMMYFUNCTION("""COMPUTED_VALUE"""),88)</f>
        <v>88</v>
      </c>
      <c r="I13" s="6">
        <f ca="1">IFERROR(__xludf.DUMMYFUNCTION("""COMPUTED_VALUE"""),88)</f>
        <v>88</v>
      </c>
      <c r="J13" s="6"/>
      <c r="K13" s="6"/>
      <c r="L13" s="6"/>
      <c r="M13" s="6">
        <f ca="1">IFERROR(__xludf.DUMMYFUNCTION("""COMPUTED_VALUE"""),260)</f>
        <v>260</v>
      </c>
      <c r="N13" s="6"/>
    </row>
    <row r="14" spans="1:26" ht="12.75">
      <c r="A14" s="6" t="str">
        <f ca="1">IFERROR(__xludf.DUMMYFUNCTION("""COMPUTED_VALUE"""),"Tambet Leinbock")</f>
        <v>Tambet Leinbock</v>
      </c>
      <c r="B14" s="6" t="str">
        <f ca="1">IFERROR(__xludf.DUMMYFUNCTION("""COMPUTED_VALUE"""),"Alutaguse")</f>
        <v>Alutaguse</v>
      </c>
      <c r="C14" s="6" t="str">
        <f ca="1">IFERROR(__xludf.DUMMYFUNCTION("""COMPUTED_VALUE"""),"M")</f>
        <v>M</v>
      </c>
      <c r="D14" s="6" t="str">
        <f ca="1">IFERROR(__xludf.DUMMYFUNCTION("""COMPUTED_VALUE"""),"300m VABA H1V")</f>
        <v>300m VABA H1V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IFERROR(__xludf.DUMMYFUNCTION("""COMPUTED_VALUE"""),87)</f>
        <v>87</v>
      </c>
      <c r="H14" s="6">
        <f ca="1">IFERROR(__xludf.DUMMYFUNCTION("""COMPUTED_VALUE"""),81)</f>
        <v>81</v>
      </c>
      <c r="I14" s="6">
        <f ca="1">IFERROR(__xludf.DUMMYFUNCTION("""COMPUTED_VALUE"""),82)</f>
        <v>82</v>
      </c>
      <c r="J14" s="6"/>
      <c r="K14" s="6"/>
      <c r="L14" s="6"/>
      <c r="M14" s="6">
        <f ca="1">IFERROR(__xludf.DUMMYFUNCTION("""COMPUTED_VALUE"""),250)</f>
        <v>250</v>
      </c>
      <c r="N14" s="6">
        <f ca="1">IFERROR(__xludf.DUMMYFUNCTION("""COMPUTED_VALUE"""),250)</f>
        <v>250</v>
      </c>
    </row>
    <row r="15" spans="1:26" ht="12.75">
      <c r="A15" s="6" t="str">
        <f ca="1">IFERROR(__xludf.DUMMYFUNCTION("""COMPUTED_VALUE"""),"Anti Jaas")</f>
        <v>Anti Jaas</v>
      </c>
      <c r="B15" s="6" t="str">
        <f ca="1">IFERROR(__xludf.DUMMYFUNCTION("""COMPUTED_VALUE"""),"Põlva")</f>
        <v>Põlva</v>
      </c>
      <c r="C15" s="6" t="str">
        <f ca="1">IFERROR(__xludf.DUMMYFUNCTION("""COMPUTED_VALUE"""),"M")</f>
        <v>M</v>
      </c>
      <c r="D15" s="6" t="str">
        <f ca="1">IFERROR(__xludf.DUMMYFUNCTION("""COMPUTED_VALUE"""),"300m VABA H1V")</f>
        <v>300m VABA H1V</v>
      </c>
      <c r="E15" s="6" t="str">
        <f ca="1">IFERROR(__xludf.DUMMYFUNCTION("""COMPUTED_VALUE"""),"Võistkond")</f>
        <v>Võistkond</v>
      </c>
      <c r="F15" s="6" t="str">
        <f ca="1">IFERROR(__xludf.DUMMYFUNCTION("""COMPUTED_VALUE"""),"10.09.23")</f>
        <v>10.09.23</v>
      </c>
      <c r="G15" s="6">
        <f ca="1">IFERROR(__xludf.DUMMYFUNCTION("""COMPUTED_VALUE"""),91)</f>
        <v>91</v>
      </c>
      <c r="H15" s="6">
        <f ca="1">IFERROR(__xludf.DUMMYFUNCTION("""COMPUTED_VALUE"""),81)</f>
        <v>81</v>
      </c>
      <c r="I15" s="6">
        <f ca="1">IFERROR(__xludf.DUMMYFUNCTION("""COMPUTED_VALUE"""),78)</f>
        <v>78</v>
      </c>
      <c r="J15" s="6"/>
      <c r="K15" s="6"/>
      <c r="L15" s="6"/>
      <c r="M15" s="6">
        <f ca="1">IFERROR(__xludf.DUMMYFUNCTION("""COMPUTED_VALUE"""),250)</f>
        <v>250</v>
      </c>
      <c r="N15" s="6">
        <f ca="1">IFERROR(__xludf.DUMMYFUNCTION("""COMPUTED_VALUE"""),250)</f>
        <v>250</v>
      </c>
    </row>
    <row r="16" spans="1:26" ht="12.75">
      <c r="A16" s="6" t="str">
        <f ca="1">IFERROR(__xludf.DUMMYFUNCTION("""COMPUTED_VALUE"""),"Aado Toomsalu")</f>
        <v>Aado Toomsalu</v>
      </c>
      <c r="B16" s="6" t="str">
        <f ca="1">IFERROR(__xludf.DUMMYFUNCTION("""COMPUTED_VALUE"""),"Saaremaa")</f>
        <v>Saaremaa</v>
      </c>
      <c r="C16" s="6" t="str">
        <f ca="1">IFERROR(__xludf.DUMMYFUNCTION("""COMPUTED_VALUE"""),"M")</f>
        <v>M</v>
      </c>
      <c r="D16" s="6" t="str">
        <f ca="1">IFERROR(__xludf.DUMMYFUNCTION("""COMPUTED_VALUE"""),"300m VABA H1V")</f>
        <v>300m VABA H1V</v>
      </c>
      <c r="E16" s="6" t="str">
        <f ca="1">IFERROR(__xludf.DUMMYFUNCTION("""COMPUTED_VALUE"""),"Võistkond")</f>
        <v>Võistkond</v>
      </c>
      <c r="F16" s="6" t="str">
        <f ca="1">IFERROR(__xludf.DUMMYFUNCTION("""COMPUTED_VALUE"""),"09.09.23")</f>
        <v>09.09.23</v>
      </c>
      <c r="G16" s="6">
        <f ca="1">IFERROR(__xludf.DUMMYFUNCTION("""COMPUTED_VALUE"""),80)</f>
        <v>80</v>
      </c>
      <c r="H16" s="6">
        <f ca="1">IFERROR(__xludf.DUMMYFUNCTION("""COMPUTED_VALUE"""),86)</f>
        <v>86</v>
      </c>
      <c r="I16" s="6">
        <f ca="1">IFERROR(__xludf.DUMMYFUNCTION("""COMPUTED_VALUE"""),82)</f>
        <v>82</v>
      </c>
      <c r="J16" s="6"/>
      <c r="K16" s="6"/>
      <c r="L16" s="6"/>
      <c r="M16" s="6">
        <f ca="1">IFERROR(__xludf.DUMMYFUNCTION("""COMPUTED_VALUE"""),248)</f>
        <v>248</v>
      </c>
      <c r="N16" s="6">
        <f ca="1">IFERROR(__xludf.DUMMYFUNCTION("""COMPUTED_VALUE"""),248)</f>
        <v>248</v>
      </c>
    </row>
    <row r="17" spans="1:14" ht="12.75">
      <c r="A17" s="6" t="str">
        <f ca="1">IFERROR(__xludf.DUMMYFUNCTION("""COMPUTED_VALUE"""),"Allar Mürk")</f>
        <v>Allar Mürk</v>
      </c>
      <c r="B17" s="6" t="str">
        <f ca="1">IFERROR(__xludf.DUMMYFUNCTION("""COMPUTED_VALUE"""),"Sakala")</f>
        <v>Sakala</v>
      </c>
      <c r="C17" s="6" t="str">
        <f ca="1">IFERROR(__xludf.DUMMYFUNCTION("""COMPUTED_VALUE"""),"M")</f>
        <v>M</v>
      </c>
      <c r="D17" s="6" t="str">
        <f ca="1">IFERROR(__xludf.DUMMYFUNCTION("""COMPUTED_VALUE"""),"300m VABA H1V")</f>
        <v>300m VABA H1V</v>
      </c>
      <c r="E17" s="6" t="str">
        <f ca="1">IFERROR(__xludf.DUMMYFUNCTION("""COMPUTED_VALUE"""),"Võistkond")</f>
        <v>Võistkond</v>
      </c>
      <c r="F17" s="6" t="str">
        <f ca="1">IFERROR(__xludf.DUMMYFUNCTION("""COMPUTED_VALUE"""),"10.09.23")</f>
        <v>10.09.23</v>
      </c>
      <c r="G17" s="6">
        <f ca="1">IFERROR(__xludf.DUMMYFUNCTION("""COMPUTED_VALUE"""),79)</f>
        <v>79</v>
      </c>
      <c r="H17" s="6">
        <f ca="1">IFERROR(__xludf.DUMMYFUNCTION("""COMPUTED_VALUE"""),80)</f>
        <v>80</v>
      </c>
      <c r="I17" s="6">
        <f ca="1">IFERROR(__xludf.DUMMYFUNCTION("""COMPUTED_VALUE"""),82)</f>
        <v>82</v>
      </c>
      <c r="J17" s="6"/>
      <c r="K17" s="6"/>
      <c r="L17" s="6"/>
      <c r="M17" s="6">
        <f ca="1">IFERROR(__xludf.DUMMYFUNCTION("""COMPUTED_VALUE"""),241)</f>
        <v>241</v>
      </c>
      <c r="N17" s="6">
        <f ca="1">IFERROR(__xludf.DUMMYFUNCTION("""COMPUTED_VALUE"""),241)</f>
        <v>241</v>
      </c>
    </row>
    <row r="18" spans="1:14" ht="12.75">
      <c r="A18" s="6" t="str">
        <f ca="1">IFERROR(__xludf.DUMMYFUNCTION("""COMPUTED_VALUE"""),"Priit Avarmaa")</f>
        <v>Priit Avarmaa</v>
      </c>
      <c r="B18" s="6" t="str">
        <f ca="1">IFERROR(__xludf.DUMMYFUNCTION("""COMPUTED_VALUE"""),"Pärnumaa")</f>
        <v>Pärnumaa</v>
      </c>
      <c r="C18" s="6" t="str">
        <f ca="1">IFERROR(__xludf.DUMMYFUNCTION("""COMPUTED_VALUE"""),"M")</f>
        <v>M</v>
      </c>
      <c r="D18" s="6" t="str">
        <f ca="1">IFERROR(__xludf.DUMMYFUNCTION("""COMPUTED_VALUE"""),"300m VABA H1V")</f>
        <v>300m VABA H1V</v>
      </c>
      <c r="E18" s="6" t="str">
        <f ca="1">IFERROR(__xludf.DUMMYFUNCTION("""COMPUTED_VALUE"""),"Individuaalne")</f>
        <v>Individuaalne</v>
      </c>
      <c r="F18" s="6" t="str">
        <f ca="1">IFERROR(__xludf.DUMMYFUNCTION("""COMPUTED_VALUE"""),"09.09.23")</f>
        <v>09.09.23</v>
      </c>
      <c r="G18" s="6">
        <f ca="1">IFERROR(__xludf.DUMMYFUNCTION("""COMPUTED_VALUE"""),78)</f>
        <v>78</v>
      </c>
      <c r="H18" s="6">
        <f ca="1">IFERROR(__xludf.DUMMYFUNCTION("""COMPUTED_VALUE"""),80)</f>
        <v>80</v>
      </c>
      <c r="I18" s="6">
        <f ca="1">IFERROR(__xludf.DUMMYFUNCTION("""COMPUTED_VALUE"""),82)</f>
        <v>82</v>
      </c>
      <c r="J18" s="6"/>
      <c r="K18" s="6"/>
      <c r="L18" s="6"/>
      <c r="M18" s="6">
        <f ca="1">IFERROR(__xludf.DUMMYFUNCTION("""COMPUTED_VALUE"""),240)</f>
        <v>240</v>
      </c>
      <c r="N18" s="6"/>
    </row>
    <row r="19" spans="1:14" ht="12.75">
      <c r="A19" s="6" t="str">
        <f ca="1">IFERROR(__xludf.DUMMYFUNCTION("""COMPUTED_VALUE"""),"Marko Suurmäe")</f>
        <v>Marko Suurmäe</v>
      </c>
      <c r="B19" s="6" t="str">
        <f ca="1">IFERROR(__xludf.DUMMYFUNCTION("""COMPUTED_VALUE"""),"Rapla")</f>
        <v>Rapla</v>
      </c>
      <c r="C19" s="6" t="str">
        <f ca="1">IFERROR(__xludf.DUMMYFUNCTION("""COMPUTED_VALUE"""),"M")</f>
        <v>M</v>
      </c>
      <c r="D19" s="6" t="str">
        <f ca="1">IFERROR(__xludf.DUMMYFUNCTION("""COMPUTED_VALUE"""),"300m VABA H1V")</f>
        <v>300m VABA H1V</v>
      </c>
      <c r="E19" s="6" t="str">
        <f ca="1">IFERROR(__xludf.DUMMYFUNCTION("""COMPUTED_VALUE"""),"Võistkond")</f>
        <v>Võistkond</v>
      </c>
      <c r="F19" s="6" t="str">
        <f ca="1">IFERROR(__xludf.DUMMYFUNCTION("""COMPUTED_VALUE"""),"10.09.23")</f>
        <v>10.09.23</v>
      </c>
      <c r="G19" s="6">
        <f ca="1">IFERROR(__xludf.DUMMYFUNCTION("""COMPUTED_VALUE"""),67)</f>
        <v>67</v>
      </c>
      <c r="H19" s="6">
        <f ca="1">IFERROR(__xludf.DUMMYFUNCTION("""COMPUTED_VALUE"""),81)</f>
        <v>81</v>
      </c>
      <c r="I19" s="6">
        <f ca="1">IFERROR(__xludf.DUMMYFUNCTION("""COMPUTED_VALUE"""),90)</f>
        <v>90</v>
      </c>
      <c r="J19" s="6"/>
      <c r="K19" s="6"/>
      <c r="L19" s="6"/>
      <c r="M19" s="6">
        <f ca="1">IFERROR(__xludf.DUMMYFUNCTION("""COMPUTED_VALUE"""),238)</f>
        <v>238</v>
      </c>
      <c r="N19" s="6">
        <f ca="1">IFERROR(__xludf.DUMMYFUNCTION("""COMPUTED_VALUE"""),238)</f>
        <v>238</v>
      </c>
    </row>
    <row r="20" spans="1:14" ht="12.75">
      <c r="A20" s="6" t="str">
        <f ca="1">IFERROR(__xludf.DUMMYFUNCTION("""COMPUTED_VALUE"""),"Lembit Mitt")</f>
        <v>Lembit Mitt</v>
      </c>
      <c r="B20" s="6" t="str">
        <f ca="1">IFERROR(__xludf.DUMMYFUNCTION("""COMPUTED_VALUE"""),"Tallinn")</f>
        <v>Tallinn</v>
      </c>
      <c r="C20" s="6" t="str">
        <f ca="1">IFERROR(__xludf.DUMMYFUNCTION("""COMPUTED_VALUE"""),"M")</f>
        <v>M</v>
      </c>
      <c r="D20" s="6" t="str">
        <f ca="1">IFERROR(__xludf.DUMMYFUNCTION("""COMPUTED_VALUE"""),"300m VABA H1V")</f>
        <v>300m VABA H1V</v>
      </c>
      <c r="E20" s="6" t="str">
        <f ca="1">IFERROR(__xludf.DUMMYFUNCTION("""COMPUTED_VALUE"""),"Võistkond")</f>
        <v>Võistkond</v>
      </c>
      <c r="F20" s="6" t="str">
        <f ca="1">IFERROR(__xludf.DUMMYFUNCTION("""COMPUTED_VALUE"""),"09.09.23")</f>
        <v>09.09.23</v>
      </c>
      <c r="G20" s="6">
        <f ca="1">IFERROR(__xludf.DUMMYFUNCTION("""COMPUTED_VALUE"""),73)</f>
        <v>73</v>
      </c>
      <c r="H20" s="6">
        <f ca="1">IFERROR(__xludf.DUMMYFUNCTION("""COMPUTED_VALUE"""),75)</f>
        <v>75</v>
      </c>
      <c r="I20" s="6">
        <f ca="1">IFERROR(__xludf.DUMMYFUNCTION("""COMPUTED_VALUE"""),73)</f>
        <v>73</v>
      </c>
      <c r="J20" s="6"/>
      <c r="K20" s="6"/>
      <c r="L20" s="6"/>
      <c r="M20" s="6">
        <f ca="1">IFERROR(__xludf.DUMMYFUNCTION("""COMPUTED_VALUE"""),221)</f>
        <v>221</v>
      </c>
      <c r="N20" s="6">
        <f ca="1">IFERROR(__xludf.DUMMYFUNCTION("""COMPUTED_VALUE"""),221)</f>
        <v>221</v>
      </c>
    </row>
    <row r="21" spans="1:14" ht="12.75">
      <c r="A21" s="6" t="str">
        <f ca="1">IFERROR(__xludf.DUMMYFUNCTION("""COMPUTED_VALUE"""),"Ain Pajo")</f>
        <v>Ain Pajo</v>
      </c>
      <c r="B21" s="6" t="str">
        <f ca="1">IFERROR(__xludf.DUMMYFUNCTION("""COMPUTED_VALUE"""),"Võrumaa")</f>
        <v>Võrumaa</v>
      </c>
      <c r="C21" s="6" t="str">
        <f ca="1">IFERROR(__xludf.DUMMYFUNCTION("""COMPUTED_VALUE"""),"M")</f>
        <v>M</v>
      </c>
      <c r="D21" s="6" t="str">
        <f ca="1">IFERROR(__xludf.DUMMYFUNCTION("""COMPUTED_VALUE"""),"300m VABA H1V")</f>
        <v>300m VABA H1V</v>
      </c>
      <c r="E21" s="6" t="str">
        <f ca="1">IFERROR(__xludf.DUMMYFUNCTION("""COMPUTED_VALUE"""),"Võistkond")</f>
        <v>Võistkond</v>
      </c>
      <c r="F21" s="6" t="str">
        <f ca="1">IFERROR(__xludf.DUMMYFUNCTION("""COMPUTED_VALUE"""),"10.09.23")</f>
        <v>10.09.23</v>
      </c>
      <c r="G21" s="6">
        <f ca="1">IFERROR(__xludf.DUMMYFUNCTION("""COMPUTED_VALUE"""),60)</f>
        <v>60</v>
      </c>
      <c r="H21" s="6">
        <f ca="1">IFERROR(__xludf.DUMMYFUNCTION("""COMPUTED_VALUE"""),79)</f>
        <v>79</v>
      </c>
      <c r="I21" s="6">
        <f ca="1">IFERROR(__xludf.DUMMYFUNCTION("""COMPUTED_VALUE"""),69)</f>
        <v>69</v>
      </c>
      <c r="J21" s="6"/>
      <c r="K21" s="6"/>
      <c r="L21" s="6"/>
      <c r="M21" s="6">
        <f ca="1">IFERROR(__xludf.DUMMYFUNCTION("""COMPUTED_VALUE"""),208)</f>
        <v>208</v>
      </c>
      <c r="N21" s="6">
        <f ca="1">IFERROR(__xludf.DUMMYFUNCTION("""COMPUTED_VALUE"""),208)</f>
        <v>208</v>
      </c>
    </row>
  </sheetData>
  <customSheetViews>
    <customSheetView guid="{845FBECC-592C-4475-9184-0C9DD86A8A6D}" filter="1" showAutoFilter="1">
      <pageMargins left="0.7" right="0.7" top="0.75" bottom="0.75" header="0.3" footer="0.3"/>
      <autoFilter ref="A2:N1000" xr:uid="{776536B3-F567-4E0C-8A0E-6DA802EB627B}">
        <filterColumn colId="3">
          <filters>
            <filter val="300m VABA H1V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32151064-5CB3-4BBA-BF78-70C9B8F05721}">
        <filterColumn colId="3">
          <filters>
            <filter val="300m VABA H1V"/>
          </filters>
        </filterColumn>
      </autoFilter>
    </customSheetView>
  </customSheetViews>
  <mergeCells count="1">
    <mergeCell ref="L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20.5703125" customWidth="1"/>
    <col min="3" max="3" width="7.5703125" customWidth="1"/>
    <col min="4" max="4" width="9.42578125" customWidth="1"/>
    <col min="6" max="6" width="11.5703125" customWidth="1"/>
    <col min="7" max="12" width="8.28515625" customWidth="1"/>
    <col min="13" max="14" width="8.5703125" customWidth="1"/>
  </cols>
  <sheetData>
    <row r="1" spans="1:26" ht="40.5" customHeight="1">
      <c r="A1" s="8" t="s">
        <v>4</v>
      </c>
      <c r="B1" s="8"/>
      <c r="C1" s="27" t="s">
        <v>33</v>
      </c>
      <c r="D1" s="28"/>
      <c r="E1" s="8"/>
      <c r="F1" s="8"/>
      <c r="G1" s="8"/>
      <c r="H1" s="8"/>
      <c r="I1" s="8" t="s">
        <v>34</v>
      </c>
      <c r="J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tr">
        <f ca="1">IFERROR(__xludf.DUMMYFUNCTION("SORT(FILTER(Nimekiri,ALA=A1),13,FALSE,8,FALSE)"),"Aili Popp")</f>
        <v>Aili Popp</v>
      </c>
      <c r="B3" s="6" t="str">
        <f ca="1">IFERROR(__xludf.DUMMYFUNCTION("""COMPUTED_VALUE"""),"Valgamaa")</f>
        <v>Valgamaa</v>
      </c>
      <c r="C3" s="6" t="str">
        <f ca="1">IFERROR(__xludf.DUMMYFUNCTION("""COMPUTED_VALUE"""),"N")</f>
        <v>N</v>
      </c>
      <c r="D3" s="6" t="str">
        <f ca="1">IFERROR(__xludf.DUMMYFUNCTION("""COMPUTED_VALUE"""),"200 m 2x10 H3")</f>
        <v>200 m 2x10 H3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IFERROR(__xludf.DUMMYFUNCTION("""COMPUTED_VALUE"""),95)</f>
        <v>95</v>
      </c>
      <c r="H3" s="6">
        <f ca="1">IFERROR(__xludf.DUMMYFUNCTION("""COMPUTED_VALUE"""),91)</f>
        <v>91</v>
      </c>
      <c r="I3" s="6"/>
      <c r="J3" s="6"/>
      <c r="K3" s="6"/>
      <c r="L3" s="6"/>
      <c r="M3" s="6">
        <f ca="1">IFERROR(__xludf.DUMMYFUNCTION("""COMPUTED_VALUE"""),186)</f>
        <v>186</v>
      </c>
      <c r="N3" s="6">
        <f ca="1">IFERROR(__xludf.DUMMYFUNCTION("""COMPUTED_VALUE"""),279)</f>
        <v>279</v>
      </c>
    </row>
    <row r="4" spans="1:26" ht="12.75">
      <c r="A4" s="6" t="str">
        <f ca="1">IFERROR(__xludf.DUMMYFUNCTION("""COMPUTED_VALUE"""),"Fred Raukas")</f>
        <v>Fred Raukas</v>
      </c>
      <c r="B4" s="6" t="str">
        <f ca="1">IFERROR(__xludf.DUMMYFUNCTION("""COMPUTED_VALUE"""),"Tallinn")</f>
        <v>Tallinn</v>
      </c>
      <c r="C4" s="6" t="str">
        <f ca="1">IFERROR(__xludf.DUMMYFUNCTION("""COMPUTED_VALUE"""),"M")</f>
        <v>M</v>
      </c>
      <c r="D4" s="6" t="str">
        <f ca="1">IFERROR(__xludf.DUMMYFUNCTION("""COMPUTED_VALUE"""),"200 m 2x10 H3")</f>
        <v>200 m 2x10 H3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IFERROR(__xludf.DUMMYFUNCTION("""COMPUTED_VALUE"""),95)</f>
        <v>95</v>
      </c>
      <c r="H4" s="6">
        <f ca="1">IFERROR(__xludf.DUMMYFUNCTION("""COMPUTED_VALUE"""),89)</f>
        <v>89</v>
      </c>
      <c r="I4" s="6"/>
      <c r="J4" s="6"/>
      <c r="K4" s="6"/>
      <c r="L4" s="6"/>
      <c r="M4" s="6">
        <f ca="1">IFERROR(__xludf.DUMMYFUNCTION("""COMPUTED_VALUE"""),184)</f>
        <v>184</v>
      </c>
      <c r="N4" s="6">
        <f ca="1">IFERROR(__xludf.DUMMYFUNCTION("""COMPUTED_VALUE"""),276)</f>
        <v>276</v>
      </c>
    </row>
    <row r="5" spans="1:26" ht="12.75">
      <c r="A5" s="6" t="str">
        <f ca="1">IFERROR(__xludf.DUMMYFUNCTION("""COMPUTED_VALUE"""),"Janis Aarne")</f>
        <v>Janis Aarne</v>
      </c>
      <c r="B5" s="6" t="str">
        <f ca="1">IFERROR(__xludf.DUMMYFUNCTION("""COMPUTED_VALUE"""),"Tallinn")</f>
        <v>Tallinn</v>
      </c>
      <c r="C5" s="6" t="str">
        <f ca="1">IFERROR(__xludf.DUMMYFUNCTION("""COMPUTED_VALUE"""),"M")</f>
        <v>M</v>
      </c>
      <c r="D5" s="6" t="str">
        <f ca="1">IFERROR(__xludf.DUMMYFUNCTION("""COMPUTED_VALUE"""),"200 m 2x10 H3")</f>
        <v>200 m 2x10 H3</v>
      </c>
      <c r="E5" s="6" t="str">
        <f ca="1">IFERROR(__xludf.DUMMYFUNCTION("""COMPUTED_VALUE"""),"Individuaalne")</f>
        <v>Individuaalne</v>
      </c>
      <c r="F5" s="6" t="str">
        <f ca="1">IFERROR(__xludf.DUMMYFUNCTION("""COMPUTED_VALUE"""),"09.09.23")</f>
        <v>09.09.23</v>
      </c>
      <c r="G5" s="6">
        <f ca="1">IFERROR(__xludf.DUMMYFUNCTION("""COMPUTED_VALUE"""),93)</f>
        <v>93</v>
      </c>
      <c r="H5" s="6">
        <f ca="1">IFERROR(__xludf.DUMMYFUNCTION("""COMPUTED_VALUE"""),86)</f>
        <v>86</v>
      </c>
      <c r="I5" s="6"/>
      <c r="J5" s="6"/>
      <c r="K5" s="6"/>
      <c r="L5" s="6"/>
      <c r="M5" s="6">
        <f ca="1">IFERROR(__xludf.DUMMYFUNCTION("""COMPUTED_VALUE"""),179)</f>
        <v>179</v>
      </c>
      <c r="N5" s="6"/>
    </row>
    <row r="6" spans="1:26" ht="12.75">
      <c r="A6" s="6" t="str">
        <f ca="1">IFERROR(__xludf.DUMMYFUNCTION("""COMPUTED_VALUE"""),"Siim Jeeberg")</f>
        <v>Siim Jeeberg</v>
      </c>
      <c r="B6" s="6" t="str">
        <f ca="1">IFERROR(__xludf.DUMMYFUNCTION("""COMPUTED_VALUE"""),"Lääne")</f>
        <v>Lääne</v>
      </c>
      <c r="C6" s="6" t="str">
        <f ca="1">IFERROR(__xludf.DUMMYFUNCTION("""COMPUTED_VALUE"""),"M")</f>
        <v>M</v>
      </c>
      <c r="D6" s="6" t="str">
        <f ca="1">IFERROR(__xludf.DUMMYFUNCTION("""COMPUTED_VALUE"""),"200 m 2x10 H3")</f>
        <v>200 m 2x10 H3</v>
      </c>
      <c r="E6" s="6" t="str">
        <f ca="1">IFERROR(__xludf.DUMMYFUNCTION("""COMPUTED_VALUE"""),"Individuaalne")</f>
        <v>Individuaalne</v>
      </c>
      <c r="F6" s="6" t="str">
        <f ca="1">IFERROR(__xludf.DUMMYFUNCTION("""COMPUTED_VALUE"""),"10.09.23")</f>
        <v>10.09.23</v>
      </c>
      <c r="G6" s="6">
        <f ca="1">IFERROR(__xludf.DUMMYFUNCTION("""COMPUTED_VALUE"""),85)</f>
        <v>85</v>
      </c>
      <c r="H6" s="6">
        <f ca="1">IFERROR(__xludf.DUMMYFUNCTION("""COMPUTED_VALUE"""),89)</f>
        <v>89</v>
      </c>
      <c r="I6" s="6"/>
      <c r="J6" s="6"/>
      <c r="K6" s="6"/>
      <c r="L6" s="6"/>
      <c r="M6" s="6">
        <f ca="1">IFERROR(__xludf.DUMMYFUNCTION("""COMPUTED_VALUE"""),174)</f>
        <v>174</v>
      </c>
      <c r="N6" s="6"/>
    </row>
    <row r="7" spans="1:26" ht="12.75">
      <c r="A7" s="6" t="str">
        <f ca="1">IFERROR(__xludf.DUMMYFUNCTION("""COMPUTED_VALUE"""),"Tambet Leinbock")</f>
        <v>Tambet Leinbock</v>
      </c>
      <c r="B7" s="6" t="str">
        <f ca="1">IFERROR(__xludf.DUMMYFUNCTION("""COMPUTED_VALUE"""),"Alutaguse")</f>
        <v>Alutaguse</v>
      </c>
      <c r="C7" s="6" t="str">
        <f ca="1">IFERROR(__xludf.DUMMYFUNCTION("""COMPUTED_VALUE"""),"M")</f>
        <v>M</v>
      </c>
      <c r="D7" s="6" t="str">
        <f ca="1">IFERROR(__xludf.DUMMYFUNCTION("""COMPUTED_VALUE"""),"200 m 2x10 H3")</f>
        <v>200 m 2x10 H3</v>
      </c>
      <c r="E7" s="6" t="str">
        <f ca="1">IFERROR(__xludf.DUMMYFUNCTION("""COMPUTED_VALUE"""),"Individuaalne")</f>
        <v>Individuaalne</v>
      </c>
      <c r="F7" s="6" t="str">
        <f ca="1">IFERROR(__xludf.DUMMYFUNCTION("""COMPUTED_VALUE"""),"09.09.23")</f>
        <v>09.09.23</v>
      </c>
      <c r="G7" s="6">
        <f ca="1">IFERROR(__xludf.DUMMYFUNCTION("""COMPUTED_VALUE"""),90)</f>
        <v>90</v>
      </c>
      <c r="H7" s="6">
        <f ca="1">IFERROR(__xludf.DUMMYFUNCTION("""COMPUTED_VALUE"""),84)</f>
        <v>84</v>
      </c>
      <c r="I7" s="6"/>
      <c r="J7" s="6"/>
      <c r="K7" s="6"/>
      <c r="L7" s="6"/>
      <c r="M7" s="6">
        <f ca="1">IFERROR(__xludf.DUMMYFUNCTION("""COMPUTED_VALUE"""),174)</f>
        <v>174</v>
      </c>
      <c r="N7" s="6"/>
    </row>
    <row r="8" spans="1:26" ht="12.75">
      <c r="A8" s="6" t="str">
        <f ca="1">IFERROR(__xludf.DUMMYFUNCTION("""COMPUTED_VALUE"""),"Eero Säde")</f>
        <v>Eero Säde</v>
      </c>
      <c r="B8" s="6" t="str">
        <f ca="1">IFERROR(__xludf.DUMMYFUNCTION("""COMPUTED_VALUE"""),"Tallinn")</f>
        <v>Tallinn</v>
      </c>
      <c r="C8" s="6" t="str">
        <f ca="1">IFERROR(__xludf.DUMMYFUNCTION("""COMPUTED_VALUE"""),"M")</f>
        <v>M</v>
      </c>
      <c r="D8" s="6" t="str">
        <f ca="1">IFERROR(__xludf.DUMMYFUNCTION("""COMPUTED_VALUE"""),"200 m 2x10 H3")</f>
        <v>200 m 2x10 H3</v>
      </c>
      <c r="E8" s="6" t="str">
        <f ca="1">IFERROR(__xludf.DUMMYFUNCTION("""COMPUTED_VALUE"""),"Individuaalne")</f>
        <v>Individuaalne</v>
      </c>
      <c r="F8" s="6" t="str">
        <f ca="1">IFERROR(__xludf.DUMMYFUNCTION("""COMPUTED_VALUE"""),"09.09.23")</f>
        <v>09.09.23</v>
      </c>
      <c r="G8" s="6">
        <f ca="1">IFERROR(__xludf.DUMMYFUNCTION("""COMPUTED_VALUE"""),84)</f>
        <v>84</v>
      </c>
      <c r="H8" s="6">
        <f ca="1">IFERROR(__xludf.DUMMYFUNCTION("""COMPUTED_VALUE"""),88)</f>
        <v>88</v>
      </c>
      <c r="I8" s="6"/>
      <c r="J8" s="6"/>
      <c r="K8" s="6"/>
      <c r="L8" s="6"/>
      <c r="M8" s="6">
        <f ca="1">IFERROR(__xludf.DUMMYFUNCTION("""COMPUTED_VALUE"""),172)</f>
        <v>172</v>
      </c>
      <c r="N8" s="6"/>
    </row>
    <row r="9" spans="1:26" ht="12.75">
      <c r="A9" s="6" t="str">
        <f ca="1">IFERROR(__xludf.DUMMYFUNCTION("""COMPUTED_VALUE"""),"Ülar Laaneoja")</f>
        <v>Ülar Laaneoja</v>
      </c>
      <c r="B9" s="6" t="str">
        <f ca="1">IFERROR(__xludf.DUMMYFUNCTION("""COMPUTED_VALUE"""),"Tartu")</f>
        <v>Tartu</v>
      </c>
      <c r="C9" s="6" t="str">
        <f ca="1">IFERROR(__xludf.DUMMYFUNCTION("""COMPUTED_VALUE"""),"M")</f>
        <v>M</v>
      </c>
      <c r="D9" s="6" t="str">
        <f ca="1">IFERROR(__xludf.DUMMYFUNCTION("""COMPUTED_VALUE"""),"200 m 2x10 H3")</f>
        <v>200 m 2x10 H3</v>
      </c>
      <c r="E9" s="6" t="str">
        <f ca="1">IFERROR(__xludf.DUMMYFUNCTION("""COMPUTED_VALUE"""),"Individuaalne")</f>
        <v>Individuaalne</v>
      </c>
      <c r="F9" s="6" t="str">
        <f ca="1">IFERROR(__xludf.DUMMYFUNCTION("""COMPUTED_VALUE"""),"10.09.23")</f>
        <v>10.09.23</v>
      </c>
      <c r="G9" s="6">
        <f ca="1">IFERROR(__xludf.DUMMYFUNCTION("""COMPUTED_VALUE"""),80)</f>
        <v>80</v>
      </c>
      <c r="H9" s="6">
        <f ca="1">IFERROR(__xludf.DUMMYFUNCTION("""COMPUTED_VALUE"""),91)</f>
        <v>91</v>
      </c>
      <c r="I9" s="6"/>
      <c r="J9" s="6"/>
      <c r="K9" s="6"/>
      <c r="L9" s="6"/>
      <c r="M9" s="6">
        <f ca="1">IFERROR(__xludf.DUMMYFUNCTION("""COMPUTED_VALUE"""),171)</f>
        <v>171</v>
      </c>
      <c r="N9" s="6"/>
    </row>
    <row r="10" spans="1:26" ht="12.75">
      <c r="A10" s="6" t="str">
        <f ca="1">IFERROR(__xludf.DUMMYFUNCTION("""COMPUTED_VALUE"""),"Anne Kull")</f>
        <v>Anne Kull</v>
      </c>
      <c r="B10" s="6" t="str">
        <f ca="1">IFERROR(__xludf.DUMMYFUNCTION("""COMPUTED_VALUE"""),"Lääne")</f>
        <v>Lääne</v>
      </c>
      <c r="C10" s="6" t="str">
        <f ca="1">IFERROR(__xludf.DUMMYFUNCTION("""COMPUTED_VALUE"""),"N")</f>
        <v>N</v>
      </c>
      <c r="D10" s="6" t="str">
        <f ca="1">IFERROR(__xludf.DUMMYFUNCTION("""COMPUTED_VALUE"""),"200 m 2x10 H3")</f>
        <v>200 m 2x10 H3</v>
      </c>
      <c r="E10" s="6" t="str">
        <f ca="1">IFERROR(__xludf.DUMMYFUNCTION("""COMPUTED_VALUE"""),"Individuaalne")</f>
        <v>Individuaalne</v>
      </c>
      <c r="F10" s="6" t="str">
        <f ca="1">IFERROR(__xludf.DUMMYFUNCTION("""COMPUTED_VALUE"""),"10.09.23")</f>
        <v>10.09.23</v>
      </c>
      <c r="G10" s="6">
        <f ca="1">IFERROR(__xludf.DUMMYFUNCTION("""COMPUTED_VALUE"""),80)</f>
        <v>80</v>
      </c>
      <c r="H10" s="6">
        <f ca="1">IFERROR(__xludf.DUMMYFUNCTION("""COMPUTED_VALUE"""),89)</f>
        <v>89</v>
      </c>
      <c r="I10" s="6"/>
      <c r="J10" s="6"/>
      <c r="K10" s="6"/>
      <c r="L10" s="6"/>
      <c r="M10" s="6">
        <f ca="1">IFERROR(__xludf.DUMMYFUNCTION("""COMPUTED_VALUE"""),169)</f>
        <v>169</v>
      </c>
      <c r="N10" s="6"/>
    </row>
    <row r="11" spans="1:26" ht="12.75">
      <c r="A11" s="6" t="str">
        <f ca="1">IFERROR(__xludf.DUMMYFUNCTION("""COMPUTED_VALUE"""),"Jaanus Roos")</f>
        <v>Jaanus Roos</v>
      </c>
      <c r="B11" s="6" t="str">
        <f ca="1">IFERROR(__xludf.DUMMYFUNCTION("""COMPUTED_VALUE"""),"Tartu")</f>
        <v>Tartu</v>
      </c>
      <c r="C11" s="6" t="str">
        <f ca="1">IFERROR(__xludf.DUMMYFUNCTION("""COMPUTED_VALUE"""),"M")</f>
        <v>M</v>
      </c>
      <c r="D11" s="6" t="str">
        <f ca="1">IFERROR(__xludf.DUMMYFUNCTION("""COMPUTED_VALUE"""),"200 m 2x10 H3")</f>
        <v>200 m 2x10 H3</v>
      </c>
      <c r="E11" s="6" t="str">
        <f ca="1">IFERROR(__xludf.DUMMYFUNCTION("""COMPUTED_VALUE"""),"Võistkond")</f>
        <v>Võistkond</v>
      </c>
      <c r="F11" s="6" t="str">
        <f ca="1">IFERROR(__xludf.DUMMYFUNCTION("""COMPUTED_VALUE"""),"10.09.23")</f>
        <v>10.09.23</v>
      </c>
      <c r="G11" s="6">
        <f ca="1">IFERROR(__xludf.DUMMYFUNCTION("""COMPUTED_VALUE"""),88)</f>
        <v>88</v>
      </c>
      <c r="H11" s="6">
        <f ca="1">IFERROR(__xludf.DUMMYFUNCTION("""COMPUTED_VALUE"""),81)</f>
        <v>81</v>
      </c>
      <c r="I11" s="6"/>
      <c r="J11" s="6"/>
      <c r="K11" s="6"/>
      <c r="L11" s="6"/>
      <c r="M11" s="6">
        <f ca="1">IFERROR(__xludf.DUMMYFUNCTION("""COMPUTED_VALUE"""),169)</f>
        <v>169</v>
      </c>
      <c r="N11" s="6">
        <f ca="1">IFERROR(__xludf.DUMMYFUNCTION("""COMPUTED_VALUE"""),253.5)</f>
        <v>253.5</v>
      </c>
    </row>
    <row r="12" spans="1:26" ht="12.75">
      <c r="A12" s="6" t="str">
        <f ca="1">IFERROR(__xludf.DUMMYFUNCTION("""COMPUTED_VALUE"""),"Margus Palolill")</f>
        <v>Margus Palolill</v>
      </c>
      <c r="B12" s="6" t="str">
        <f ca="1">IFERROR(__xludf.DUMMYFUNCTION("""COMPUTED_VALUE"""),"Põlva")</f>
        <v>Põlva</v>
      </c>
      <c r="C12" s="6" t="str">
        <f ca="1">IFERROR(__xludf.DUMMYFUNCTION("""COMPUTED_VALUE"""),"M")</f>
        <v>M</v>
      </c>
      <c r="D12" s="6" t="str">
        <f ca="1">IFERROR(__xludf.DUMMYFUNCTION("""COMPUTED_VALUE"""),"200 m 2x10 H3")</f>
        <v>200 m 2x10 H3</v>
      </c>
      <c r="E12" s="6" t="str">
        <f ca="1">IFERROR(__xludf.DUMMYFUNCTION("""COMPUTED_VALUE"""),"Võistkond")</f>
        <v>Võistkond</v>
      </c>
      <c r="F12" s="6" t="str">
        <f ca="1">IFERROR(__xludf.DUMMYFUNCTION("""COMPUTED_VALUE"""),"10.09.23")</f>
        <v>10.09.23</v>
      </c>
      <c r="G12" s="6">
        <f ca="1">IFERROR(__xludf.DUMMYFUNCTION("""COMPUTED_VALUE"""),82)</f>
        <v>82</v>
      </c>
      <c r="H12" s="6">
        <f ca="1">IFERROR(__xludf.DUMMYFUNCTION("""COMPUTED_VALUE"""),85)</f>
        <v>85</v>
      </c>
      <c r="I12" s="6"/>
      <c r="J12" s="6"/>
      <c r="K12" s="6"/>
      <c r="L12" s="6"/>
      <c r="M12" s="6">
        <f ca="1">IFERROR(__xludf.DUMMYFUNCTION("""COMPUTED_VALUE"""),167)</f>
        <v>167</v>
      </c>
      <c r="N12" s="6">
        <f ca="1">IFERROR(__xludf.DUMMYFUNCTION("""COMPUTED_VALUE"""),250.5)</f>
        <v>250.5</v>
      </c>
    </row>
    <row r="13" spans="1:26" ht="12.75">
      <c r="A13" s="6" t="str">
        <f ca="1">IFERROR(__xludf.DUMMYFUNCTION("""COMPUTED_VALUE"""),"Priit Avarmaa")</f>
        <v>Priit Avarmaa</v>
      </c>
      <c r="B13" s="6" t="str">
        <f ca="1">IFERROR(__xludf.DUMMYFUNCTION("""COMPUTED_VALUE"""),"Pärnumaa")</f>
        <v>Pärnumaa</v>
      </c>
      <c r="C13" s="6" t="str">
        <f ca="1">IFERROR(__xludf.DUMMYFUNCTION("""COMPUTED_VALUE"""),"M")</f>
        <v>M</v>
      </c>
      <c r="D13" s="6" t="str">
        <f ca="1">IFERROR(__xludf.DUMMYFUNCTION("""COMPUTED_VALUE"""),"200 m 2x10 H3")</f>
        <v>200 m 2x10 H3</v>
      </c>
      <c r="E13" s="6" t="str">
        <f ca="1">IFERROR(__xludf.DUMMYFUNCTION("""COMPUTED_VALUE"""),"Võistkond")</f>
        <v>Võistkond</v>
      </c>
      <c r="F13" s="6" t="str">
        <f ca="1">IFERROR(__xludf.DUMMYFUNCTION("""COMPUTED_VALUE"""),"09.09.23")</f>
        <v>09.09.23</v>
      </c>
      <c r="G13" s="6">
        <f ca="1">IFERROR(__xludf.DUMMYFUNCTION("""COMPUTED_VALUE"""),87)</f>
        <v>87</v>
      </c>
      <c r="H13" s="6">
        <f ca="1">IFERROR(__xludf.DUMMYFUNCTION("""COMPUTED_VALUE"""),79)</f>
        <v>79</v>
      </c>
      <c r="I13" s="6"/>
      <c r="J13" s="6"/>
      <c r="K13" s="6"/>
      <c r="L13" s="6"/>
      <c r="M13" s="6">
        <f ca="1">IFERROR(__xludf.DUMMYFUNCTION("""COMPUTED_VALUE"""),166)</f>
        <v>166</v>
      </c>
      <c r="N13" s="6">
        <f ca="1">IFERROR(__xludf.DUMMYFUNCTION("""COMPUTED_VALUE"""),249)</f>
        <v>249</v>
      </c>
    </row>
    <row r="14" spans="1:26" ht="12.75">
      <c r="A14" s="6" t="str">
        <f ca="1">IFERROR(__xludf.DUMMYFUNCTION("""COMPUTED_VALUE"""),"Juss Leinbock")</f>
        <v>Juss Leinbock</v>
      </c>
      <c r="B14" s="6" t="str">
        <f ca="1">IFERROR(__xludf.DUMMYFUNCTION("""COMPUTED_VALUE"""),"Alutaguse")</f>
        <v>Alutaguse</v>
      </c>
      <c r="C14" s="6" t="str">
        <f ca="1">IFERROR(__xludf.DUMMYFUNCTION("""COMPUTED_VALUE"""),"M")</f>
        <v>M</v>
      </c>
      <c r="D14" s="6" t="str">
        <f ca="1">IFERROR(__xludf.DUMMYFUNCTION("""COMPUTED_VALUE"""),"200 m 2x10 H3")</f>
        <v>200 m 2x10 H3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IFERROR(__xludf.DUMMYFUNCTION("""COMPUTED_VALUE"""),89)</f>
        <v>89</v>
      </c>
      <c r="H14" s="6">
        <f ca="1">IFERROR(__xludf.DUMMYFUNCTION("""COMPUTED_VALUE"""),74)</f>
        <v>74</v>
      </c>
      <c r="I14" s="6"/>
      <c r="J14" s="6"/>
      <c r="K14" s="6"/>
      <c r="L14" s="6"/>
      <c r="M14" s="6">
        <f ca="1">IFERROR(__xludf.DUMMYFUNCTION("""COMPUTED_VALUE"""),163)</f>
        <v>163</v>
      </c>
      <c r="N14" s="6">
        <f ca="1">IFERROR(__xludf.DUMMYFUNCTION("""COMPUTED_VALUE"""),244.5)</f>
        <v>244.5</v>
      </c>
    </row>
    <row r="15" spans="1:26" ht="12.75">
      <c r="A15" s="6" t="str">
        <f ca="1">IFERROR(__xludf.DUMMYFUNCTION("""COMPUTED_VALUE"""),"Marko Ender")</f>
        <v>Marko Ender</v>
      </c>
      <c r="B15" s="6" t="str">
        <f ca="1">IFERROR(__xludf.DUMMYFUNCTION("""COMPUTED_VALUE"""),"Lääne")</f>
        <v>Lääne</v>
      </c>
      <c r="C15" s="6" t="str">
        <f ca="1">IFERROR(__xludf.DUMMYFUNCTION("""COMPUTED_VALUE"""),"M")</f>
        <v>M</v>
      </c>
      <c r="D15" s="6" t="str">
        <f ca="1">IFERROR(__xludf.DUMMYFUNCTION("""COMPUTED_VALUE"""),"200 m 2x10 H3")</f>
        <v>200 m 2x10 H3</v>
      </c>
      <c r="E15" s="6" t="str">
        <f ca="1">IFERROR(__xludf.DUMMYFUNCTION("""COMPUTED_VALUE"""),"Võistkond")</f>
        <v>Võistkond</v>
      </c>
      <c r="F15" s="6" t="str">
        <f ca="1">IFERROR(__xludf.DUMMYFUNCTION("""COMPUTED_VALUE"""),"10.09.23")</f>
        <v>10.09.23</v>
      </c>
      <c r="G15" s="6">
        <f ca="1">IFERROR(__xludf.DUMMYFUNCTION("""COMPUTED_VALUE"""),84)</f>
        <v>84</v>
      </c>
      <c r="H15" s="6">
        <f ca="1">IFERROR(__xludf.DUMMYFUNCTION("""COMPUTED_VALUE"""),78)</f>
        <v>78</v>
      </c>
      <c r="I15" s="6"/>
      <c r="J15" s="6"/>
      <c r="K15" s="6"/>
      <c r="L15" s="6"/>
      <c r="M15" s="6">
        <f ca="1">IFERROR(__xludf.DUMMYFUNCTION("""COMPUTED_VALUE"""),162)</f>
        <v>162</v>
      </c>
      <c r="N15" s="6">
        <f ca="1">IFERROR(__xludf.DUMMYFUNCTION("""COMPUTED_VALUE"""),243)</f>
        <v>243</v>
      </c>
    </row>
    <row r="16" spans="1:26" ht="12.75">
      <c r="A16" s="6" t="str">
        <f ca="1">IFERROR(__xludf.DUMMYFUNCTION("""COMPUTED_VALUE"""),"Liis Kruuse")</f>
        <v>Liis Kruuse</v>
      </c>
      <c r="B16" s="6" t="str">
        <f ca="1">IFERROR(__xludf.DUMMYFUNCTION("""COMPUTED_VALUE"""),"Tartu")</f>
        <v>Tartu</v>
      </c>
      <c r="C16" s="6" t="str">
        <f ca="1">IFERROR(__xludf.DUMMYFUNCTION("""COMPUTED_VALUE"""),"N")</f>
        <v>N</v>
      </c>
      <c r="D16" s="6" t="str">
        <f ca="1">IFERROR(__xludf.DUMMYFUNCTION("""COMPUTED_VALUE"""),"200 m 2x10 H3")</f>
        <v>200 m 2x10 H3</v>
      </c>
      <c r="E16" s="6" t="str">
        <f ca="1">IFERROR(__xludf.DUMMYFUNCTION("""COMPUTED_VALUE"""),"Individuaalne")</f>
        <v>Individuaalne</v>
      </c>
      <c r="F16" s="6" t="str">
        <f ca="1">IFERROR(__xludf.DUMMYFUNCTION("""COMPUTED_VALUE"""),"10.09.23")</f>
        <v>10.09.23</v>
      </c>
      <c r="G16" s="6">
        <f ca="1">IFERROR(__xludf.DUMMYFUNCTION("""COMPUTED_VALUE"""),84)</f>
        <v>84</v>
      </c>
      <c r="H16" s="6">
        <f ca="1">IFERROR(__xludf.DUMMYFUNCTION("""COMPUTED_VALUE"""),78)</f>
        <v>78</v>
      </c>
      <c r="I16" s="6"/>
      <c r="J16" s="6"/>
      <c r="K16" s="6"/>
      <c r="L16" s="6"/>
      <c r="M16" s="6">
        <f ca="1">IFERROR(__xludf.DUMMYFUNCTION("""COMPUTED_VALUE"""),162)</f>
        <v>162</v>
      </c>
      <c r="N16" s="6"/>
    </row>
    <row r="17" spans="1:14" ht="12.75">
      <c r="A17" s="6" t="str">
        <f ca="1">IFERROR(__xludf.DUMMYFUNCTION("""COMPUTED_VALUE"""),"Reijo Virolainen")</f>
        <v>Reijo Virolainen</v>
      </c>
      <c r="B17" s="6" t="str">
        <f ca="1">IFERROR(__xludf.DUMMYFUNCTION("""COMPUTED_VALUE"""),"Tartu")</f>
        <v>Tartu</v>
      </c>
      <c r="C17" s="6" t="str">
        <f ca="1">IFERROR(__xludf.DUMMYFUNCTION("""COMPUTED_VALUE"""),"M")</f>
        <v>M</v>
      </c>
      <c r="D17" s="6" t="str">
        <f ca="1">IFERROR(__xludf.DUMMYFUNCTION("""COMPUTED_VALUE"""),"200 m 2x10 H3")</f>
        <v>200 m 2x10 H3</v>
      </c>
      <c r="E17" s="6" t="str">
        <f ca="1">IFERROR(__xludf.DUMMYFUNCTION("""COMPUTED_VALUE"""),"Individuaalne")</f>
        <v>Individuaalne</v>
      </c>
      <c r="F17" s="6" t="str">
        <f ca="1">IFERROR(__xludf.DUMMYFUNCTION("""COMPUTED_VALUE"""),"10.09.23")</f>
        <v>10.09.23</v>
      </c>
      <c r="G17" s="6">
        <f ca="1">IFERROR(__xludf.DUMMYFUNCTION("""COMPUTED_VALUE"""),74)</f>
        <v>74</v>
      </c>
      <c r="H17" s="6">
        <f ca="1">IFERROR(__xludf.DUMMYFUNCTION("""COMPUTED_VALUE"""),84)</f>
        <v>84</v>
      </c>
      <c r="I17" s="6"/>
      <c r="J17" s="6"/>
      <c r="K17" s="6"/>
      <c r="L17" s="6"/>
      <c r="M17" s="6">
        <f ca="1">IFERROR(__xludf.DUMMYFUNCTION("""COMPUTED_VALUE"""),158)</f>
        <v>158</v>
      </c>
      <c r="N17" s="6"/>
    </row>
    <row r="18" spans="1:14" ht="12.75">
      <c r="A18" s="6" t="str">
        <f ca="1">IFERROR(__xludf.DUMMYFUNCTION("""COMPUTED_VALUE"""),"Olavi Kask")</f>
        <v>Olavi Kask</v>
      </c>
      <c r="B18" s="6" t="str">
        <f ca="1">IFERROR(__xludf.DUMMYFUNCTION("""COMPUTED_VALUE"""),"Tartu")</f>
        <v>Tartu</v>
      </c>
      <c r="C18" s="6" t="str">
        <f ca="1">IFERROR(__xludf.DUMMYFUNCTION("""COMPUTED_VALUE"""),"M")</f>
        <v>M</v>
      </c>
      <c r="D18" s="6" t="str">
        <f ca="1">IFERROR(__xludf.DUMMYFUNCTION("""COMPUTED_VALUE"""),"200 m 2x10 H3")</f>
        <v>200 m 2x10 H3</v>
      </c>
      <c r="E18" s="6" t="str">
        <f ca="1">IFERROR(__xludf.DUMMYFUNCTION("""COMPUTED_VALUE"""),"Individuaalne")</f>
        <v>Individuaalne</v>
      </c>
      <c r="F18" s="6" t="str">
        <f ca="1">IFERROR(__xludf.DUMMYFUNCTION("""COMPUTED_VALUE"""),"10.09.23")</f>
        <v>10.09.23</v>
      </c>
      <c r="G18" s="6">
        <f ca="1">IFERROR(__xludf.DUMMYFUNCTION("""COMPUTED_VALUE"""),77)</f>
        <v>77</v>
      </c>
      <c r="H18" s="6">
        <f ca="1">IFERROR(__xludf.DUMMYFUNCTION("""COMPUTED_VALUE"""),76)</f>
        <v>76</v>
      </c>
      <c r="I18" s="6"/>
      <c r="J18" s="6"/>
      <c r="K18" s="6"/>
      <c r="L18" s="6"/>
      <c r="M18" s="6">
        <f ca="1">IFERROR(__xludf.DUMMYFUNCTION("""COMPUTED_VALUE"""),153)</f>
        <v>153</v>
      </c>
      <c r="N18" s="6"/>
    </row>
    <row r="19" spans="1:14" ht="12.75">
      <c r="A19" s="6" t="str">
        <f ca="1">IFERROR(__xludf.DUMMYFUNCTION("""COMPUTED_VALUE"""),"Henry Tammann")</f>
        <v>Henry Tammann</v>
      </c>
      <c r="B19" s="6" t="str">
        <f ca="1">IFERROR(__xludf.DUMMYFUNCTION("""COMPUTED_VALUE"""),"Alutaguse")</f>
        <v>Alutaguse</v>
      </c>
      <c r="C19" s="6" t="str">
        <f ca="1">IFERROR(__xludf.DUMMYFUNCTION("""COMPUTED_VALUE"""),"M")</f>
        <v>M</v>
      </c>
      <c r="D19" s="6" t="str">
        <f ca="1">IFERROR(__xludf.DUMMYFUNCTION("""COMPUTED_VALUE"""),"200 m 2x10 H3")</f>
        <v>200 m 2x10 H3</v>
      </c>
      <c r="E19" s="6" t="str">
        <f ca="1">IFERROR(__xludf.DUMMYFUNCTION("""COMPUTED_VALUE"""),"Individuaalne")</f>
        <v>Individuaalne</v>
      </c>
      <c r="F19" s="6" t="str">
        <f ca="1">IFERROR(__xludf.DUMMYFUNCTION("""COMPUTED_VALUE"""),"09.09.23")</f>
        <v>09.09.23</v>
      </c>
      <c r="G19" s="6">
        <f ca="1">IFERROR(__xludf.DUMMYFUNCTION("""COMPUTED_VALUE"""),87)</f>
        <v>87</v>
      </c>
      <c r="H19" s="6">
        <f ca="1">IFERROR(__xludf.DUMMYFUNCTION("""COMPUTED_VALUE"""),63)</f>
        <v>63</v>
      </c>
      <c r="I19" s="6"/>
      <c r="J19" s="6"/>
      <c r="K19" s="6"/>
      <c r="L19" s="6"/>
      <c r="M19" s="6">
        <f ca="1">IFERROR(__xludf.DUMMYFUNCTION("""COMPUTED_VALUE"""),150)</f>
        <v>150</v>
      </c>
      <c r="N19" s="6"/>
    </row>
    <row r="20" spans="1:14" ht="12.75">
      <c r="A20" s="6" t="str">
        <f ca="1">IFERROR(__xludf.DUMMYFUNCTION("""COMPUTED_VALUE"""),"Peeter Pops")</f>
        <v>Peeter Pops</v>
      </c>
      <c r="B20" s="6" t="str">
        <f ca="1">IFERROR(__xludf.DUMMYFUNCTION("""COMPUTED_VALUE"""),"Viru")</f>
        <v>Viru</v>
      </c>
      <c r="C20" s="6" t="str">
        <f ca="1">IFERROR(__xludf.DUMMYFUNCTION("""COMPUTED_VALUE"""),"M")</f>
        <v>M</v>
      </c>
      <c r="D20" s="6" t="str">
        <f ca="1">IFERROR(__xludf.DUMMYFUNCTION("""COMPUTED_VALUE"""),"200 m 2x10 H3")</f>
        <v>200 m 2x10 H3</v>
      </c>
      <c r="E20" s="6" t="str">
        <f ca="1">IFERROR(__xludf.DUMMYFUNCTION("""COMPUTED_VALUE"""),"Võistkond")</f>
        <v>Võistkond</v>
      </c>
      <c r="F20" s="6" t="str">
        <f ca="1">IFERROR(__xludf.DUMMYFUNCTION("""COMPUTED_VALUE"""),"10.09.23")</f>
        <v>10.09.23</v>
      </c>
      <c r="G20" s="6">
        <f ca="1">IFERROR(__xludf.DUMMYFUNCTION("""COMPUTED_VALUE"""),73)</f>
        <v>73</v>
      </c>
      <c r="H20" s="6">
        <f ca="1">IFERROR(__xludf.DUMMYFUNCTION("""COMPUTED_VALUE"""),73)</f>
        <v>73</v>
      </c>
      <c r="I20" s="6"/>
      <c r="J20" s="6"/>
      <c r="K20" s="6"/>
      <c r="L20" s="6"/>
      <c r="M20" s="6">
        <f ca="1">IFERROR(__xludf.DUMMYFUNCTION("""COMPUTED_VALUE"""),146)</f>
        <v>146</v>
      </c>
      <c r="N20" s="6">
        <f ca="1">IFERROR(__xludf.DUMMYFUNCTION("""COMPUTED_VALUE"""),219)</f>
        <v>219</v>
      </c>
    </row>
    <row r="21" spans="1:14" ht="12.75">
      <c r="A21" s="6" t="str">
        <f ca="1">IFERROR(__xludf.DUMMYFUNCTION("""COMPUTED_VALUE"""),"Erik Aadusoo")</f>
        <v>Erik Aadusoo</v>
      </c>
      <c r="B21" s="6" t="str">
        <f ca="1">IFERROR(__xludf.DUMMYFUNCTION("""COMPUTED_VALUE"""),"Tartu")</f>
        <v>Tartu</v>
      </c>
      <c r="C21" s="6" t="str">
        <f ca="1">IFERROR(__xludf.DUMMYFUNCTION("""COMPUTED_VALUE"""),"M")</f>
        <v>M</v>
      </c>
      <c r="D21" s="6" t="str">
        <f ca="1">IFERROR(__xludf.DUMMYFUNCTION("""COMPUTED_VALUE"""),"200 m 2x10 H3")</f>
        <v>200 m 2x10 H3</v>
      </c>
      <c r="E21" s="6" t="str">
        <f ca="1">IFERROR(__xludf.DUMMYFUNCTION("""COMPUTED_VALUE"""),"Individuaalne")</f>
        <v>Individuaalne</v>
      </c>
      <c r="F21" s="6" t="str">
        <f ca="1">IFERROR(__xludf.DUMMYFUNCTION("""COMPUTED_VALUE"""),"10.09.23")</f>
        <v>10.09.23</v>
      </c>
      <c r="G21" s="6">
        <f ca="1">IFERROR(__xludf.DUMMYFUNCTION("""COMPUTED_VALUE"""),75)</f>
        <v>75</v>
      </c>
      <c r="H21" s="6">
        <f ca="1">IFERROR(__xludf.DUMMYFUNCTION("""COMPUTED_VALUE"""),71)</f>
        <v>71</v>
      </c>
      <c r="I21" s="6"/>
      <c r="J21" s="6"/>
      <c r="K21" s="6"/>
      <c r="L21" s="6"/>
      <c r="M21" s="6">
        <f ca="1">IFERROR(__xludf.DUMMYFUNCTION("""COMPUTED_VALUE"""),146)</f>
        <v>146</v>
      </c>
      <c r="N21" s="6"/>
    </row>
    <row r="22" spans="1:14" ht="12.75">
      <c r="A22" s="6" t="str">
        <f ca="1">IFERROR(__xludf.DUMMYFUNCTION("""COMPUTED_VALUE"""),"Tarmo Juurak")</f>
        <v>Tarmo Juurak</v>
      </c>
      <c r="B22" s="6" t="str">
        <f ca="1">IFERROR(__xludf.DUMMYFUNCTION("""COMPUTED_VALUE"""),"Harju")</f>
        <v>Harju</v>
      </c>
      <c r="C22" s="6" t="str">
        <f ca="1">IFERROR(__xludf.DUMMYFUNCTION("""COMPUTED_VALUE"""),"M")</f>
        <v>M</v>
      </c>
      <c r="D22" s="6" t="str">
        <f ca="1">IFERROR(__xludf.DUMMYFUNCTION("""COMPUTED_VALUE"""),"200 m 2x10 H3")</f>
        <v>200 m 2x10 H3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IFERROR(__xludf.DUMMYFUNCTION("""COMPUTED_VALUE"""),83)</f>
        <v>83</v>
      </c>
      <c r="H22" s="6">
        <f ca="1">IFERROR(__xludf.DUMMYFUNCTION("""COMPUTED_VALUE"""),60)</f>
        <v>60</v>
      </c>
      <c r="I22" s="6"/>
      <c r="J22" s="6"/>
      <c r="K22" s="6"/>
      <c r="L22" s="6"/>
      <c r="M22" s="6">
        <f ca="1">IFERROR(__xludf.DUMMYFUNCTION("""COMPUTED_VALUE"""),143)</f>
        <v>143</v>
      </c>
      <c r="N22" s="6">
        <f ca="1">IFERROR(__xludf.DUMMYFUNCTION("""COMPUTED_VALUE"""),214.5)</f>
        <v>214.5</v>
      </c>
    </row>
    <row r="23" spans="1:14" ht="12.75">
      <c r="A23" s="6" t="str">
        <f ca="1">IFERROR(__xludf.DUMMYFUNCTION("""COMPUTED_VALUE"""),"Mikk Mustmaa")</f>
        <v>Mikk Mustmaa</v>
      </c>
      <c r="B23" s="6" t="str">
        <f ca="1">IFERROR(__xludf.DUMMYFUNCTION("""COMPUTED_VALUE"""),"Võrumaa")</f>
        <v>Võrumaa</v>
      </c>
      <c r="C23" s="6" t="str">
        <f ca="1">IFERROR(__xludf.DUMMYFUNCTION("""COMPUTED_VALUE"""),"M")</f>
        <v>M</v>
      </c>
      <c r="D23" s="6" t="str">
        <f ca="1">IFERROR(__xludf.DUMMYFUNCTION("""COMPUTED_VALUE"""),"200 m 2x10 H3")</f>
        <v>200 m 2x10 H3</v>
      </c>
      <c r="E23" s="6" t="str">
        <f ca="1">IFERROR(__xludf.DUMMYFUNCTION("""COMPUTED_VALUE"""),"Võistkond")</f>
        <v>Võistkond</v>
      </c>
      <c r="F23" s="6" t="str">
        <f ca="1">IFERROR(__xludf.DUMMYFUNCTION("""COMPUTED_VALUE"""),"10.09.23")</f>
        <v>10.09.23</v>
      </c>
      <c r="G23" s="6">
        <f ca="1">IFERROR(__xludf.DUMMYFUNCTION("""COMPUTED_VALUE"""),69)</f>
        <v>69</v>
      </c>
      <c r="H23" s="6">
        <f ca="1">IFERROR(__xludf.DUMMYFUNCTION("""COMPUTED_VALUE"""),72)</f>
        <v>72</v>
      </c>
      <c r="I23" s="6"/>
      <c r="J23" s="6"/>
      <c r="K23" s="6"/>
      <c r="L23" s="6"/>
      <c r="M23" s="6">
        <f ca="1">IFERROR(__xludf.DUMMYFUNCTION("""COMPUTED_VALUE"""),141)</f>
        <v>141</v>
      </c>
      <c r="N23" s="6">
        <f ca="1">IFERROR(__xludf.DUMMYFUNCTION("""COMPUTED_VALUE"""),211.5)</f>
        <v>211.5</v>
      </c>
    </row>
    <row r="24" spans="1:14" ht="12.75">
      <c r="A24" s="6" t="str">
        <f ca="1">IFERROR(__xludf.DUMMYFUNCTION("""COMPUTED_VALUE"""),"Jürgen Kaas")</f>
        <v>Jürgen Kaas</v>
      </c>
      <c r="B24" s="6" t="str">
        <f ca="1">IFERROR(__xludf.DUMMYFUNCTION("""COMPUTED_VALUE"""),"Järva")</f>
        <v>Järva</v>
      </c>
      <c r="C24" s="6" t="str">
        <f ca="1">IFERROR(__xludf.DUMMYFUNCTION("""COMPUTED_VALUE"""),"M")</f>
        <v>M</v>
      </c>
      <c r="D24" s="6" t="str">
        <f ca="1">IFERROR(__xludf.DUMMYFUNCTION("""COMPUTED_VALUE"""),"200 m 2x10 H3")</f>
        <v>200 m 2x10 H3</v>
      </c>
      <c r="E24" s="6" t="str">
        <f ca="1">IFERROR(__xludf.DUMMYFUNCTION("""COMPUTED_VALUE"""),"Võistkond")</f>
        <v>Võistkond</v>
      </c>
      <c r="F24" s="6" t="str">
        <f ca="1">IFERROR(__xludf.DUMMYFUNCTION("""COMPUTED_VALUE"""),"09.09.23")</f>
        <v>09.09.23</v>
      </c>
      <c r="G24" s="6">
        <f ca="1">IFERROR(__xludf.DUMMYFUNCTION("""COMPUTED_VALUE"""),72)</f>
        <v>72</v>
      </c>
      <c r="H24" s="6">
        <f ca="1">IFERROR(__xludf.DUMMYFUNCTION("""COMPUTED_VALUE"""),69)</f>
        <v>69</v>
      </c>
      <c r="I24" s="6"/>
      <c r="J24" s="6"/>
      <c r="K24" s="6"/>
      <c r="L24" s="6"/>
      <c r="M24" s="6">
        <f ca="1">IFERROR(__xludf.DUMMYFUNCTION("""COMPUTED_VALUE"""),141)</f>
        <v>141</v>
      </c>
      <c r="N24" s="6">
        <f ca="1">IFERROR(__xludf.DUMMYFUNCTION("""COMPUTED_VALUE"""),211.5)</f>
        <v>211.5</v>
      </c>
    </row>
    <row r="25" spans="1:14" ht="12.75">
      <c r="A25" s="6" t="str">
        <f ca="1">IFERROR(__xludf.DUMMYFUNCTION("""COMPUTED_VALUE"""),"Ülar Jürviste")</f>
        <v>Ülar Jürviste</v>
      </c>
      <c r="B25" s="6" t="str">
        <f ca="1">IFERROR(__xludf.DUMMYFUNCTION("""COMPUTED_VALUE"""),"Saaremaa")</f>
        <v>Saaremaa</v>
      </c>
      <c r="C25" s="6" t="str">
        <f ca="1">IFERROR(__xludf.DUMMYFUNCTION("""COMPUTED_VALUE"""),"M")</f>
        <v>M</v>
      </c>
      <c r="D25" s="6" t="str">
        <f ca="1">IFERROR(__xludf.DUMMYFUNCTION("""COMPUTED_VALUE"""),"200 m 2x10 H3")</f>
        <v>200 m 2x10 H3</v>
      </c>
      <c r="E25" s="6" t="str">
        <f ca="1">IFERROR(__xludf.DUMMYFUNCTION("""COMPUTED_VALUE"""),"Võistkond")</f>
        <v>Võistkond</v>
      </c>
      <c r="F25" s="6" t="str">
        <f ca="1">IFERROR(__xludf.DUMMYFUNCTION("""COMPUTED_VALUE"""),"09.09.23")</f>
        <v>09.09.23</v>
      </c>
      <c r="G25" s="6">
        <f ca="1">IFERROR(__xludf.DUMMYFUNCTION("""COMPUTED_VALUE"""),77)</f>
        <v>77</v>
      </c>
      <c r="H25" s="6">
        <f ca="1">IFERROR(__xludf.DUMMYFUNCTION("""COMPUTED_VALUE"""),64)</f>
        <v>64</v>
      </c>
      <c r="I25" s="6"/>
      <c r="J25" s="6"/>
      <c r="K25" s="6"/>
      <c r="L25" s="6"/>
      <c r="M25" s="6">
        <f ca="1">IFERROR(__xludf.DUMMYFUNCTION("""COMPUTED_VALUE"""),141)</f>
        <v>141</v>
      </c>
      <c r="N25" s="6">
        <f ca="1">IFERROR(__xludf.DUMMYFUNCTION("""COMPUTED_VALUE"""),211.5)</f>
        <v>211.5</v>
      </c>
    </row>
    <row r="26" spans="1:14" ht="12.75">
      <c r="A26" s="6" t="str">
        <f ca="1">IFERROR(__xludf.DUMMYFUNCTION("""COMPUTED_VALUE"""),"Daimar Elp")</f>
        <v>Daimar Elp</v>
      </c>
      <c r="B26" s="6" t="str">
        <f ca="1">IFERROR(__xludf.DUMMYFUNCTION("""COMPUTED_VALUE"""),"Tartu")</f>
        <v>Tartu</v>
      </c>
      <c r="C26" s="6" t="str">
        <f ca="1">IFERROR(__xludf.DUMMYFUNCTION("""COMPUTED_VALUE"""),"M")</f>
        <v>M</v>
      </c>
      <c r="D26" s="6" t="str">
        <f ca="1">IFERROR(__xludf.DUMMYFUNCTION("""COMPUTED_VALUE"""),"200 m 2x10 H3")</f>
        <v>200 m 2x10 H3</v>
      </c>
      <c r="E26" s="6" t="str">
        <f ca="1">IFERROR(__xludf.DUMMYFUNCTION("""COMPUTED_VALUE"""),"Individuaalne")</f>
        <v>Individuaalne</v>
      </c>
      <c r="F26" s="6" t="str">
        <f ca="1">IFERROR(__xludf.DUMMYFUNCTION("""COMPUTED_VALUE"""),"10.09.23")</f>
        <v>10.09.23</v>
      </c>
      <c r="G26" s="6">
        <f ca="1">IFERROR(__xludf.DUMMYFUNCTION("""COMPUTED_VALUE"""),77)</f>
        <v>77</v>
      </c>
      <c r="H26" s="6">
        <f ca="1">IFERROR(__xludf.DUMMYFUNCTION("""COMPUTED_VALUE"""),64)</f>
        <v>64</v>
      </c>
      <c r="I26" s="6"/>
      <c r="J26" s="6"/>
      <c r="K26" s="6"/>
      <c r="L26" s="6"/>
      <c r="M26" s="6">
        <f ca="1">IFERROR(__xludf.DUMMYFUNCTION("""COMPUTED_VALUE"""),141)</f>
        <v>141</v>
      </c>
      <c r="N26" s="6"/>
    </row>
    <row r="27" spans="1:14" ht="12.75">
      <c r="A27" s="6" t="str">
        <f ca="1">IFERROR(__xludf.DUMMYFUNCTION("""COMPUTED_VALUE"""),"Veiko Park")</f>
        <v>Veiko Park</v>
      </c>
      <c r="B27" s="6" t="str">
        <f ca="1">IFERROR(__xludf.DUMMYFUNCTION("""COMPUTED_VALUE"""),"Võrumaa")</f>
        <v>Võrumaa</v>
      </c>
      <c r="C27" s="6" t="str">
        <f ca="1">IFERROR(__xludf.DUMMYFUNCTION("""COMPUTED_VALUE"""),"M")</f>
        <v>M</v>
      </c>
      <c r="D27" s="6" t="str">
        <f ca="1">IFERROR(__xludf.DUMMYFUNCTION("""COMPUTED_VALUE"""),"200 m 2x10 H3")</f>
        <v>200 m 2x10 H3</v>
      </c>
      <c r="E27" s="6" t="str">
        <f ca="1">IFERROR(__xludf.DUMMYFUNCTION("""COMPUTED_VALUE"""),"Individuaalne")</f>
        <v>Individuaalne</v>
      </c>
      <c r="F27" s="6" t="str">
        <f ca="1">IFERROR(__xludf.DUMMYFUNCTION("""COMPUTED_VALUE"""),"10.09.23")</f>
        <v>10.09.23</v>
      </c>
      <c r="G27" s="6">
        <f ca="1">IFERROR(__xludf.DUMMYFUNCTION("""COMPUTED_VALUE"""),74)</f>
        <v>74</v>
      </c>
      <c r="H27" s="6">
        <f ca="1">IFERROR(__xludf.DUMMYFUNCTION("""COMPUTED_VALUE"""),66)</f>
        <v>66</v>
      </c>
      <c r="I27" s="6"/>
      <c r="J27" s="6"/>
      <c r="K27" s="6"/>
      <c r="L27" s="6"/>
      <c r="M27" s="6">
        <f ca="1">IFERROR(__xludf.DUMMYFUNCTION("""COMPUTED_VALUE"""),140)</f>
        <v>140</v>
      </c>
      <c r="N27" s="6"/>
    </row>
    <row r="28" spans="1:14" ht="12.75">
      <c r="A28" s="6" t="str">
        <f ca="1">IFERROR(__xludf.DUMMYFUNCTION("""COMPUTED_VALUE"""),"Ele Lehes")</f>
        <v>Ele Lehes</v>
      </c>
      <c r="B28" s="6" t="str">
        <f ca="1">IFERROR(__xludf.DUMMYFUNCTION("""COMPUTED_VALUE"""),"Sakala")</f>
        <v>Sakala</v>
      </c>
      <c r="C28" s="6" t="str">
        <f ca="1">IFERROR(__xludf.DUMMYFUNCTION("""COMPUTED_VALUE"""),"N")</f>
        <v>N</v>
      </c>
      <c r="D28" s="6" t="str">
        <f ca="1">IFERROR(__xludf.DUMMYFUNCTION("""COMPUTED_VALUE"""),"200 m 2x10 H3")</f>
        <v>200 m 2x10 H3</v>
      </c>
      <c r="E28" s="6" t="str">
        <f ca="1">IFERROR(__xludf.DUMMYFUNCTION("""COMPUTED_VALUE"""),"Võistkond")</f>
        <v>Võistkond</v>
      </c>
      <c r="F28" s="6" t="str">
        <f ca="1">IFERROR(__xludf.DUMMYFUNCTION("""COMPUTED_VALUE"""),"10.09.23")</f>
        <v>10.09.23</v>
      </c>
      <c r="G28" s="6">
        <f ca="1">IFERROR(__xludf.DUMMYFUNCTION("""COMPUTED_VALUE"""),74)</f>
        <v>74</v>
      </c>
      <c r="H28" s="6">
        <f ca="1">IFERROR(__xludf.DUMMYFUNCTION("""COMPUTED_VALUE"""),64)</f>
        <v>64</v>
      </c>
      <c r="I28" s="6"/>
      <c r="J28" s="6"/>
      <c r="K28" s="6"/>
      <c r="L28" s="6"/>
      <c r="M28" s="6">
        <f ca="1">IFERROR(__xludf.DUMMYFUNCTION("""COMPUTED_VALUE"""),138)</f>
        <v>138</v>
      </c>
      <c r="N28" s="6">
        <f ca="1">IFERROR(__xludf.DUMMYFUNCTION("""COMPUTED_VALUE"""),207)</f>
        <v>207</v>
      </c>
    </row>
    <row r="29" spans="1:14" ht="12.75">
      <c r="A29" s="6" t="str">
        <f ca="1">IFERROR(__xludf.DUMMYFUNCTION("""COMPUTED_VALUE"""),"Meelis Unt")</f>
        <v>Meelis Unt</v>
      </c>
      <c r="B29" s="6" t="str">
        <f ca="1">IFERROR(__xludf.DUMMYFUNCTION("""COMPUTED_VALUE"""),"KL peastaap")</f>
        <v>KL peastaap</v>
      </c>
      <c r="C29" s="6" t="str">
        <f ca="1">IFERROR(__xludf.DUMMYFUNCTION("""COMPUTED_VALUE"""),"M")</f>
        <v>M</v>
      </c>
      <c r="D29" s="6" t="str">
        <f ca="1">IFERROR(__xludf.DUMMYFUNCTION("""COMPUTED_VALUE"""),"200 m 2x10 H3")</f>
        <v>200 m 2x10 H3</v>
      </c>
      <c r="E29" s="6" t="str">
        <f ca="1">IFERROR(__xludf.DUMMYFUNCTION("""COMPUTED_VALUE"""),"Võistkond")</f>
        <v>Võistkond</v>
      </c>
      <c r="F29" s="6" t="str">
        <f ca="1">IFERROR(__xludf.DUMMYFUNCTION("""COMPUTED_VALUE"""),"09.09.23")</f>
        <v>09.09.23</v>
      </c>
      <c r="G29" s="6">
        <f ca="1">IFERROR(__xludf.DUMMYFUNCTION("""COMPUTED_VALUE"""),76)</f>
        <v>76</v>
      </c>
      <c r="H29" s="6">
        <f ca="1">IFERROR(__xludf.DUMMYFUNCTION("""COMPUTED_VALUE"""),59)</f>
        <v>59</v>
      </c>
      <c r="I29" s="6"/>
      <c r="J29" s="6"/>
      <c r="K29" s="6"/>
      <c r="L29" s="6"/>
      <c r="M29" s="6">
        <f ca="1">IFERROR(__xludf.DUMMYFUNCTION("""COMPUTED_VALUE"""),135)</f>
        <v>135</v>
      </c>
      <c r="N29" s="6">
        <f ca="1">IFERROR(__xludf.DUMMYFUNCTION("""COMPUTED_VALUE"""),202.5)</f>
        <v>202.5</v>
      </c>
    </row>
    <row r="30" spans="1:14" ht="12.75">
      <c r="A30" s="6" t="str">
        <f ca="1">IFERROR(__xludf.DUMMYFUNCTION("""COMPUTED_VALUE"""),"Sören Silm")</f>
        <v>Sören Silm</v>
      </c>
      <c r="B30" s="6" t="str">
        <f ca="1">IFERROR(__xludf.DUMMYFUNCTION("""COMPUTED_VALUE"""),"Sakala")</f>
        <v>Sakala</v>
      </c>
      <c r="C30" s="6" t="str">
        <f ca="1">IFERROR(__xludf.DUMMYFUNCTION("""COMPUTED_VALUE"""),"M")</f>
        <v>M</v>
      </c>
      <c r="D30" s="6" t="str">
        <f ca="1">IFERROR(__xludf.DUMMYFUNCTION("""COMPUTED_VALUE"""),"200 m 2x10 H3")</f>
        <v>200 m 2x10 H3</v>
      </c>
      <c r="E30" s="6" t="str">
        <f ca="1">IFERROR(__xludf.DUMMYFUNCTION("""COMPUTED_VALUE"""),"Individuaalne")</f>
        <v>Individuaalne</v>
      </c>
      <c r="F30" s="6" t="str">
        <f ca="1">IFERROR(__xludf.DUMMYFUNCTION("""COMPUTED_VALUE"""),"10.09.23")</f>
        <v>10.09.23</v>
      </c>
      <c r="G30" s="6">
        <f ca="1">IFERROR(__xludf.DUMMYFUNCTION("""COMPUTED_VALUE"""),69)</f>
        <v>69</v>
      </c>
      <c r="H30" s="6">
        <f ca="1">IFERROR(__xludf.DUMMYFUNCTION("""COMPUTED_VALUE"""),61)</f>
        <v>61</v>
      </c>
      <c r="I30" s="6"/>
      <c r="J30" s="6"/>
      <c r="K30" s="6"/>
      <c r="L30" s="6"/>
      <c r="M30" s="6">
        <f ca="1">IFERROR(__xludf.DUMMYFUNCTION("""COMPUTED_VALUE"""),130)</f>
        <v>130</v>
      </c>
      <c r="N30" s="6"/>
    </row>
    <row r="31" spans="1:14" ht="12.75">
      <c r="A31" s="6" t="str">
        <f ca="1">IFERROR(__xludf.DUMMYFUNCTION("""COMPUTED_VALUE"""),"Jaanus Vooremäe")</f>
        <v>Jaanus Vooremäe</v>
      </c>
      <c r="B31" s="6" t="str">
        <f ca="1">IFERROR(__xludf.DUMMYFUNCTION("""COMPUTED_VALUE"""),"KKÜ")</f>
        <v>KKÜ</v>
      </c>
      <c r="C31" s="6" t="str">
        <f ca="1">IFERROR(__xludf.DUMMYFUNCTION("""COMPUTED_VALUE"""),"M")</f>
        <v>M</v>
      </c>
      <c r="D31" s="6" t="str">
        <f ca="1">IFERROR(__xludf.DUMMYFUNCTION("""COMPUTED_VALUE"""),"200 m 2x10 H3")</f>
        <v>200 m 2x10 H3</v>
      </c>
      <c r="E31" s="6" t="str">
        <f ca="1">IFERROR(__xludf.DUMMYFUNCTION("""COMPUTED_VALUE"""),"Võistkond")</f>
        <v>Võistkond</v>
      </c>
      <c r="F31" s="6" t="str">
        <f ca="1">IFERROR(__xludf.DUMMYFUNCTION("""COMPUTED_VALUE"""),"09.09.23")</f>
        <v>09.09.23</v>
      </c>
      <c r="G31" s="6">
        <f ca="1">IFERROR(__xludf.DUMMYFUNCTION("""COMPUTED_VALUE"""),67)</f>
        <v>67</v>
      </c>
      <c r="H31" s="6">
        <f ca="1">IFERROR(__xludf.DUMMYFUNCTION("""COMPUTED_VALUE"""),60)</f>
        <v>60</v>
      </c>
      <c r="I31" s="6"/>
      <c r="J31" s="6"/>
      <c r="K31" s="6"/>
      <c r="L31" s="6"/>
      <c r="M31" s="6">
        <f ca="1">IFERROR(__xludf.DUMMYFUNCTION("""COMPUTED_VALUE"""),127)</f>
        <v>127</v>
      </c>
      <c r="N31" s="6">
        <f ca="1">IFERROR(__xludf.DUMMYFUNCTION("""COMPUTED_VALUE"""),190.5)</f>
        <v>190.5</v>
      </c>
    </row>
    <row r="32" spans="1:14" ht="12.75">
      <c r="A32" s="6" t="str">
        <f ca="1">IFERROR(__xludf.DUMMYFUNCTION("""COMPUTED_VALUE"""),"Allan Anniste")</f>
        <v>Allan Anniste</v>
      </c>
      <c r="B32" s="6" t="str">
        <f ca="1">IFERROR(__xludf.DUMMYFUNCTION("""COMPUTED_VALUE"""),"Järva")</f>
        <v>Järva</v>
      </c>
      <c r="C32" s="6" t="str">
        <f ca="1">IFERROR(__xludf.DUMMYFUNCTION("""COMPUTED_VALUE"""),"M")</f>
        <v>M</v>
      </c>
      <c r="D32" s="6" t="str">
        <f ca="1">IFERROR(__xludf.DUMMYFUNCTION("""COMPUTED_VALUE"""),"200 m 2x10 H3")</f>
        <v>200 m 2x10 H3</v>
      </c>
      <c r="E32" s="6" t="str">
        <f ca="1">IFERROR(__xludf.DUMMYFUNCTION("""COMPUTED_VALUE"""),"Individuaalne")</f>
        <v>Individuaalne</v>
      </c>
      <c r="F32" s="6" t="str">
        <f ca="1">IFERROR(__xludf.DUMMYFUNCTION("""COMPUTED_VALUE"""),"09.09.23")</f>
        <v>09.09.23</v>
      </c>
      <c r="G32" s="6">
        <f ca="1">IFERROR(__xludf.DUMMYFUNCTION("""COMPUTED_VALUE"""),70)</f>
        <v>70</v>
      </c>
      <c r="H32" s="6">
        <f ca="1">IFERROR(__xludf.DUMMYFUNCTION("""COMPUTED_VALUE"""),53)</f>
        <v>53</v>
      </c>
      <c r="I32" s="6"/>
      <c r="J32" s="6"/>
      <c r="K32" s="6"/>
      <c r="L32" s="6"/>
      <c r="M32" s="6">
        <f ca="1">IFERROR(__xludf.DUMMYFUNCTION("""COMPUTED_VALUE"""),123)</f>
        <v>123</v>
      </c>
      <c r="N32" s="6"/>
    </row>
    <row r="33" spans="1:14" ht="12.75">
      <c r="A33" s="6" t="str">
        <f ca="1">IFERROR(__xludf.DUMMYFUNCTION("""COMPUTED_VALUE"""),"Aigar Truija")</f>
        <v>Aigar Truija</v>
      </c>
      <c r="B33" s="6" t="str">
        <f ca="1">IFERROR(__xludf.DUMMYFUNCTION("""COMPUTED_VALUE"""),"Võrumaa")</f>
        <v>Võrumaa</v>
      </c>
      <c r="C33" s="6" t="str">
        <f ca="1">IFERROR(__xludf.DUMMYFUNCTION("""COMPUTED_VALUE"""),"M")</f>
        <v>M</v>
      </c>
      <c r="D33" s="6" t="str">
        <f ca="1">IFERROR(__xludf.DUMMYFUNCTION("""COMPUTED_VALUE"""),"200 m 2x10 H3")</f>
        <v>200 m 2x10 H3</v>
      </c>
      <c r="E33" s="6" t="str">
        <f ca="1">IFERROR(__xludf.DUMMYFUNCTION("""COMPUTED_VALUE"""),"Individuaalne")</f>
        <v>Individuaalne</v>
      </c>
      <c r="F33" s="6" t="str">
        <f ca="1">IFERROR(__xludf.DUMMYFUNCTION("""COMPUTED_VALUE"""),"10.09.23")</f>
        <v>10.09.23</v>
      </c>
      <c r="G33" s="6">
        <f ca="1">IFERROR(__xludf.DUMMYFUNCTION("""COMPUTED_VALUE"""),70)</f>
        <v>70</v>
      </c>
      <c r="H33" s="6">
        <f ca="1">IFERROR(__xludf.DUMMYFUNCTION("""COMPUTED_VALUE"""),51)</f>
        <v>51</v>
      </c>
      <c r="I33" s="6"/>
      <c r="J33" s="6"/>
      <c r="K33" s="6"/>
      <c r="L33" s="6"/>
      <c r="M33" s="6">
        <f ca="1">IFERROR(__xludf.DUMMYFUNCTION("""COMPUTED_VALUE"""),121)</f>
        <v>121</v>
      </c>
      <c r="N33" s="6"/>
    </row>
    <row r="34" spans="1:14" ht="12.75">
      <c r="A34" s="6" t="str">
        <f ca="1">IFERROR(__xludf.DUMMYFUNCTION("""COMPUTED_VALUE"""),"Jaan Jänesmäe")</f>
        <v>Jaan Jänesmäe</v>
      </c>
      <c r="B34" s="6" t="str">
        <f ca="1">IFERROR(__xludf.DUMMYFUNCTION("""COMPUTED_VALUE"""),"KKÜ")</f>
        <v>KKÜ</v>
      </c>
      <c r="C34" s="6" t="str">
        <f ca="1">IFERROR(__xludf.DUMMYFUNCTION("""COMPUTED_VALUE"""),"M")</f>
        <v>M</v>
      </c>
      <c r="D34" s="6" t="str">
        <f ca="1">IFERROR(__xludf.DUMMYFUNCTION("""COMPUTED_VALUE"""),"200 m 2x10 H3")</f>
        <v>200 m 2x10 H3</v>
      </c>
      <c r="E34" s="6" t="str">
        <f ca="1">IFERROR(__xludf.DUMMYFUNCTION("""COMPUTED_VALUE"""),"Individuaalne")</f>
        <v>Individuaalne</v>
      </c>
      <c r="F34" s="6" t="str">
        <f ca="1">IFERROR(__xludf.DUMMYFUNCTION("""COMPUTED_VALUE"""),"09.09.23")</f>
        <v>09.09.23</v>
      </c>
      <c r="G34" s="6">
        <f ca="1">IFERROR(__xludf.DUMMYFUNCTION("""COMPUTED_VALUE"""),53)</f>
        <v>53</v>
      </c>
      <c r="H34" s="6">
        <f ca="1">IFERROR(__xludf.DUMMYFUNCTION("""COMPUTED_VALUE"""),66)</f>
        <v>66</v>
      </c>
      <c r="I34" s="6"/>
      <c r="J34" s="6"/>
      <c r="K34" s="6"/>
      <c r="L34" s="6"/>
      <c r="M34" s="6">
        <f ca="1">IFERROR(__xludf.DUMMYFUNCTION("""COMPUTED_VALUE"""),119)</f>
        <v>119</v>
      </c>
      <c r="N34" s="6"/>
    </row>
    <row r="35" spans="1:14" ht="12.75">
      <c r="A35" s="6" t="str">
        <f ca="1">IFERROR(__xludf.DUMMYFUNCTION("""COMPUTED_VALUE"""),"Eik Erich Tahk")</f>
        <v>Eik Erich Tahk</v>
      </c>
      <c r="B35" s="6" t="str">
        <f ca="1">IFERROR(__xludf.DUMMYFUNCTION("""COMPUTED_VALUE"""),"Sakala")</f>
        <v>Sakala</v>
      </c>
      <c r="C35" s="6" t="str">
        <f ca="1">IFERROR(__xludf.DUMMYFUNCTION("""COMPUTED_VALUE"""),"N")</f>
        <v>N</v>
      </c>
      <c r="D35" s="6" t="str">
        <f ca="1">IFERROR(__xludf.DUMMYFUNCTION("""COMPUTED_VALUE"""),"200 m 2x10 H3")</f>
        <v>200 m 2x10 H3</v>
      </c>
      <c r="E35" s="6" t="str">
        <f ca="1">IFERROR(__xludf.DUMMYFUNCTION("""COMPUTED_VALUE"""),"Individuaalne")</f>
        <v>Individuaalne</v>
      </c>
      <c r="F35" s="6" t="str">
        <f ca="1">IFERROR(__xludf.DUMMYFUNCTION("""COMPUTED_VALUE"""),"10.09.23")</f>
        <v>10.09.23</v>
      </c>
      <c r="G35" s="6">
        <f ca="1">IFERROR(__xludf.DUMMYFUNCTION("""COMPUTED_VALUE"""),51)</f>
        <v>51</v>
      </c>
      <c r="H35" s="6">
        <f ca="1">IFERROR(__xludf.DUMMYFUNCTION("""COMPUTED_VALUE"""),54)</f>
        <v>54</v>
      </c>
      <c r="I35" s="6"/>
      <c r="J35" s="6"/>
      <c r="K35" s="6"/>
      <c r="L35" s="6"/>
      <c r="M35" s="6">
        <f ca="1">IFERROR(__xludf.DUMMYFUNCTION("""COMPUTED_VALUE"""),105)</f>
        <v>105</v>
      </c>
      <c r="N35" s="6"/>
    </row>
    <row r="36" spans="1:14" ht="12.75">
      <c r="A36" s="6" t="str">
        <f ca="1">IFERROR(__xludf.DUMMYFUNCTION("""COMPUTED_VALUE"""),"Meelis Liiv")</f>
        <v>Meelis Liiv</v>
      </c>
      <c r="B36" s="6" t="str">
        <f ca="1">IFERROR(__xludf.DUMMYFUNCTION("""COMPUTED_VALUE"""),"Rapla")</f>
        <v>Rapla</v>
      </c>
      <c r="C36" s="6" t="str">
        <f ca="1">IFERROR(__xludf.DUMMYFUNCTION("""COMPUTED_VALUE"""),"M")</f>
        <v>M</v>
      </c>
      <c r="D36" s="6" t="str">
        <f ca="1">IFERROR(__xludf.DUMMYFUNCTION("""COMPUTED_VALUE"""),"200 m 2x10 H3")</f>
        <v>200 m 2x10 H3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IFERROR(__xludf.DUMMYFUNCTION("""COMPUTED_VALUE"""),33)</f>
        <v>33</v>
      </c>
      <c r="H36" s="6">
        <f ca="1">IFERROR(__xludf.DUMMYFUNCTION("""COMPUTED_VALUE"""),40)</f>
        <v>40</v>
      </c>
      <c r="I36" s="6"/>
      <c r="J36" s="6"/>
      <c r="K36" s="6"/>
      <c r="L36" s="6"/>
      <c r="M36" s="6">
        <f ca="1">IFERROR(__xludf.DUMMYFUNCTION("""COMPUTED_VALUE"""),73)</f>
        <v>73</v>
      </c>
      <c r="N36" s="6">
        <f ca="1">IFERROR(__xludf.DUMMYFUNCTION("""COMPUTED_VALUE"""),109.5)</f>
        <v>109.5</v>
      </c>
    </row>
  </sheetData>
  <customSheetViews>
    <customSheetView guid="{845FBECC-592C-4475-9184-0C9DD86A8A6D}" filter="1" showAutoFilter="1">
      <pageMargins left="0.7" right="0.7" top="0.75" bottom="0.75" header="0.3" footer="0.3"/>
      <autoFilter ref="A2:N1000" xr:uid="{9C7337A5-6757-4D58-9BF8-FACFDD79C3EC}">
        <filterColumn colId="2">
          <filters blank="1">
            <filter val="N"/>
          </filters>
        </filterColumn>
        <filterColumn colId="3">
          <filters>
            <filter val="200 m 2x10 H3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646A30D1-6CFE-4C22-A0B9-4C7401081DC4}">
        <filterColumn colId="2">
          <filters blank="1">
            <filter val="M"/>
          </filters>
        </filterColumn>
        <filterColumn colId="3">
          <filters>
            <filter val="200 m 2x10 H3"/>
          </filters>
        </filterColumn>
      </autoFilter>
    </customSheetView>
  </customSheetViews>
  <mergeCells count="1"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7.42578125" customWidth="1"/>
    <col min="3" max="3" width="7.5703125" customWidth="1"/>
    <col min="4" max="4" width="9.42578125" customWidth="1"/>
    <col min="6" max="6" width="11.7109375" customWidth="1"/>
    <col min="7" max="12" width="7.7109375" customWidth="1"/>
    <col min="13" max="14" width="8.140625" customWidth="1"/>
    <col min="15" max="16" width="8.42578125" customWidth="1"/>
  </cols>
  <sheetData>
    <row r="1" spans="1:26" ht="19.5" customHeight="1">
      <c r="A1" s="8" t="s">
        <v>3</v>
      </c>
      <c r="B1" s="8"/>
      <c r="C1" s="8" t="s">
        <v>35</v>
      </c>
      <c r="D1" s="8"/>
      <c r="E1" s="8"/>
      <c r="F1" s="8"/>
      <c r="G1" s="8"/>
      <c r="H1" s="8"/>
      <c r="I1" s="8"/>
      <c r="J1" s="8" t="s">
        <v>31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tr">
        <f ca="1">IFERROR(__xludf.DUMMYFUNCTION("SORT(FILTER(Nimekiri,ALA=A1),13,FALSE,9,FALSE)"),"Kersti Kaare")</f>
        <v>Kersti Kaare</v>
      </c>
      <c r="B3" s="6" t="str">
        <f ca="1">IFERROR(__xludf.DUMMYFUNCTION("""COMPUTED_VALUE"""),"KL peastaap")</f>
        <v>KL peastaap</v>
      </c>
      <c r="C3" s="6" t="str">
        <f ca="1">IFERROR(__xludf.DUMMYFUNCTION("""COMPUTED_VALUE"""),"N")</f>
        <v>N</v>
      </c>
      <c r="D3" s="6" t="str">
        <f ca="1">IFERROR(__xludf.DUMMYFUNCTION("""COMPUTED_VALUE"""),"100m 3x10 H2")</f>
        <v>100m 3x10 H2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IFERROR(__xludf.DUMMYFUNCTION("""COMPUTED_VALUE"""),97)</f>
        <v>97</v>
      </c>
      <c r="H3" s="6">
        <f ca="1">IFERROR(__xludf.DUMMYFUNCTION("""COMPUTED_VALUE"""),99)</f>
        <v>99</v>
      </c>
      <c r="I3" s="6">
        <f ca="1">IFERROR(__xludf.DUMMYFUNCTION("""COMPUTED_VALUE"""),92)</f>
        <v>92</v>
      </c>
      <c r="J3" s="6"/>
      <c r="K3" s="6"/>
      <c r="L3" s="6"/>
      <c r="M3" s="6">
        <f ca="1">IFERROR(__xludf.DUMMYFUNCTION("""COMPUTED_VALUE"""),288)</f>
        <v>288</v>
      </c>
      <c r="N3" s="6">
        <f ca="1">IFERROR(__xludf.DUMMYFUNCTION("""COMPUTED_VALUE"""),288)</f>
        <v>288</v>
      </c>
    </row>
    <row r="4" spans="1:26" ht="12.75">
      <c r="A4" s="6" t="str">
        <f ca="1">IFERROR(__xludf.DUMMYFUNCTION("""COMPUTED_VALUE"""),"Aare Väliste")</f>
        <v>Aare Väliste</v>
      </c>
      <c r="B4" s="6" t="str">
        <f ca="1">IFERROR(__xludf.DUMMYFUNCTION("""COMPUTED_VALUE"""),"Pärnumaa")</f>
        <v>Pärnumaa</v>
      </c>
      <c r="C4" s="6" t="str">
        <f ca="1">IFERROR(__xludf.DUMMYFUNCTION("""COMPUTED_VALUE"""),"M")</f>
        <v>M</v>
      </c>
      <c r="D4" s="6" t="str">
        <f ca="1">IFERROR(__xludf.DUMMYFUNCTION("""COMPUTED_VALUE"""),"100m 3x10 H2")</f>
        <v>100m 3x10 H2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IFERROR(__xludf.DUMMYFUNCTION("""COMPUTED_VALUE"""),96)</f>
        <v>96</v>
      </c>
      <c r="H4" s="6">
        <f ca="1">IFERROR(__xludf.DUMMYFUNCTION("""COMPUTED_VALUE"""),96)</f>
        <v>96</v>
      </c>
      <c r="I4" s="6">
        <f ca="1">IFERROR(__xludf.DUMMYFUNCTION("""COMPUTED_VALUE"""),92)</f>
        <v>92</v>
      </c>
      <c r="J4" s="6"/>
      <c r="K4" s="6"/>
      <c r="L4" s="6"/>
      <c r="M4" s="6">
        <f ca="1">IFERROR(__xludf.DUMMYFUNCTION("""COMPUTED_VALUE"""),284)</f>
        <v>284</v>
      </c>
      <c r="N4" s="6">
        <f ca="1">IFERROR(__xludf.DUMMYFUNCTION("""COMPUTED_VALUE"""),284)</f>
        <v>284</v>
      </c>
    </row>
    <row r="5" spans="1:26" ht="12.75">
      <c r="A5" s="6" t="str">
        <f ca="1">IFERROR(__xludf.DUMMYFUNCTION("""COMPUTED_VALUE"""),"Ivar Tallerman")</f>
        <v>Ivar Tallerman</v>
      </c>
      <c r="B5" s="6" t="str">
        <f ca="1">IFERROR(__xludf.DUMMYFUNCTION("""COMPUTED_VALUE"""),"Alutaguse")</f>
        <v>Alutaguse</v>
      </c>
      <c r="C5" s="6" t="str">
        <f ca="1">IFERROR(__xludf.DUMMYFUNCTION("""COMPUTED_VALUE"""),"M")</f>
        <v>M</v>
      </c>
      <c r="D5" s="6" t="str">
        <f ca="1">IFERROR(__xludf.DUMMYFUNCTION("""COMPUTED_VALUE"""),"100m 3x10 H2")</f>
        <v>100m 3x10 H2</v>
      </c>
      <c r="E5" s="6" t="str">
        <f ca="1">IFERROR(__xludf.DUMMYFUNCTION("""COMPUTED_VALUE"""),"Võistkond")</f>
        <v>Võistkond</v>
      </c>
      <c r="F5" s="6" t="str">
        <f ca="1">IFERROR(__xludf.DUMMYFUNCTION("""COMPUTED_VALUE"""),"09.09.23")</f>
        <v>09.09.23</v>
      </c>
      <c r="G5" s="6">
        <f ca="1">IFERROR(__xludf.DUMMYFUNCTION("""COMPUTED_VALUE"""),98)</f>
        <v>98</v>
      </c>
      <c r="H5" s="6">
        <f ca="1">IFERROR(__xludf.DUMMYFUNCTION("""COMPUTED_VALUE"""),94)</f>
        <v>94</v>
      </c>
      <c r="I5" s="6">
        <f ca="1">IFERROR(__xludf.DUMMYFUNCTION("""COMPUTED_VALUE"""),91)</f>
        <v>91</v>
      </c>
      <c r="J5" s="6"/>
      <c r="K5" s="6"/>
      <c r="L5" s="6"/>
      <c r="M5" s="6">
        <f ca="1">IFERROR(__xludf.DUMMYFUNCTION("""COMPUTED_VALUE"""),283)</f>
        <v>283</v>
      </c>
      <c r="N5" s="6">
        <f ca="1">IFERROR(__xludf.DUMMYFUNCTION("""COMPUTED_VALUE"""),283)</f>
        <v>283</v>
      </c>
    </row>
    <row r="6" spans="1:26" ht="12.75">
      <c r="A6" s="6" t="str">
        <f ca="1">IFERROR(__xludf.DUMMYFUNCTION("""COMPUTED_VALUE"""),"Siim Jeeberg")</f>
        <v>Siim Jeeberg</v>
      </c>
      <c r="B6" s="6" t="str">
        <f ca="1">IFERROR(__xludf.DUMMYFUNCTION("""COMPUTED_VALUE"""),"Lääne")</f>
        <v>Lääne</v>
      </c>
      <c r="C6" s="6" t="str">
        <f ca="1">IFERROR(__xludf.DUMMYFUNCTION("""COMPUTED_VALUE"""),"M")</f>
        <v>M</v>
      </c>
      <c r="D6" s="6" t="str">
        <f ca="1">IFERROR(__xludf.DUMMYFUNCTION("""COMPUTED_VALUE"""),"100m 3x10 H2")</f>
        <v>100m 3x10 H2</v>
      </c>
      <c r="E6" s="6" t="str">
        <f ca="1">IFERROR(__xludf.DUMMYFUNCTION("""COMPUTED_VALUE"""),"Individuaalne")</f>
        <v>Individuaalne</v>
      </c>
      <c r="F6" s="6" t="str">
        <f ca="1">IFERROR(__xludf.DUMMYFUNCTION("""COMPUTED_VALUE"""),"10.09.23")</f>
        <v>10.09.23</v>
      </c>
      <c r="G6" s="6">
        <f ca="1">IFERROR(__xludf.DUMMYFUNCTION("""COMPUTED_VALUE"""),98)</f>
        <v>98</v>
      </c>
      <c r="H6" s="6">
        <f ca="1">IFERROR(__xludf.DUMMYFUNCTION("""COMPUTED_VALUE"""),92)</f>
        <v>92</v>
      </c>
      <c r="I6" s="6">
        <f ca="1">IFERROR(__xludf.DUMMYFUNCTION("""COMPUTED_VALUE"""),92)</f>
        <v>92</v>
      </c>
      <c r="J6" s="6"/>
      <c r="K6" s="6"/>
      <c r="L6" s="6"/>
      <c r="M6" s="6">
        <f ca="1">IFERROR(__xludf.DUMMYFUNCTION("""COMPUTED_VALUE"""),282)</f>
        <v>282</v>
      </c>
      <c r="N6" s="6"/>
    </row>
    <row r="7" spans="1:26" ht="12.75">
      <c r="A7" s="6" t="str">
        <f ca="1">IFERROR(__xludf.DUMMYFUNCTION("""COMPUTED_VALUE"""),"Janis Aarne")</f>
        <v>Janis Aarne</v>
      </c>
      <c r="B7" s="6" t="str">
        <f ca="1">IFERROR(__xludf.DUMMYFUNCTION("""COMPUTED_VALUE"""),"Tallinn")</f>
        <v>Tallinn</v>
      </c>
      <c r="C7" s="6" t="str">
        <f ca="1">IFERROR(__xludf.DUMMYFUNCTION("""COMPUTED_VALUE"""),"M")</f>
        <v>M</v>
      </c>
      <c r="D7" s="6" t="str">
        <f ca="1">IFERROR(__xludf.DUMMYFUNCTION("""COMPUTED_VALUE"""),"100m 3x10 H2")</f>
        <v>100m 3x10 H2</v>
      </c>
      <c r="E7" s="6" t="str">
        <f ca="1">IFERROR(__xludf.DUMMYFUNCTION("""COMPUTED_VALUE"""),"Võistkond")</f>
        <v>Võistkond</v>
      </c>
      <c r="F7" s="6" t="str">
        <f ca="1">IFERROR(__xludf.DUMMYFUNCTION("""COMPUTED_VALUE"""),"09.09.23")</f>
        <v>09.09.23</v>
      </c>
      <c r="G7" s="6">
        <f ca="1">IFERROR(__xludf.DUMMYFUNCTION("""COMPUTED_VALUE"""),98)</f>
        <v>98</v>
      </c>
      <c r="H7" s="6">
        <f ca="1">IFERROR(__xludf.DUMMYFUNCTION("""COMPUTED_VALUE"""),91)</f>
        <v>91</v>
      </c>
      <c r="I7" s="6">
        <f ca="1">IFERROR(__xludf.DUMMYFUNCTION("""COMPUTED_VALUE"""),92)</f>
        <v>92</v>
      </c>
      <c r="J7" s="6"/>
      <c r="K7" s="6"/>
      <c r="L7" s="6"/>
      <c r="M7" s="6">
        <f ca="1">IFERROR(__xludf.DUMMYFUNCTION("""COMPUTED_VALUE"""),281)</f>
        <v>281</v>
      </c>
      <c r="N7" s="6">
        <f ca="1">IFERROR(__xludf.DUMMYFUNCTION("""COMPUTED_VALUE"""),281)</f>
        <v>281</v>
      </c>
    </row>
    <row r="8" spans="1:26" ht="12.75">
      <c r="A8" s="6" t="str">
        <f ca="1">IFERROR(__xludf.DUMMYFUNCTION("""COMPUTED_VALUE"""),"Lauri Erm")</f>
        <v>Lauri Erm</v>
      </c>
      <c r="B8" s="6" t="str">
        <f ca="1">IFERROR(__xludf.DUMMYFUNCTION("""COMPUTED_VALUE"""),"KKÜ")</f>
        <v>KKÜ</v>
      </c>
      <c r="C8" s="6" t="str">
        <f ca="1">IFERROR(__xludf.DUMMYFUNCTION("""COMPUTED_VALUE"""),"M")</f>
        <v>M</v>
      </c>
      <c r="D8" s="6" t="str">
        <f ca="1">IFERROR(__xludf.DUMMYFUNCTION("""COMPUTED_VALUE"""),"100m 3x10 H2")</f>
        <v>100m 3x10 H2</v>
      </c>
      <c r="E8" s="6" t="str">
        <f ca="1">IFERROR(__xludf.DUMMYFUNCTION("""COMPUTED_VALUE"""),"Võistkond")</f>
        <v>Võistkond</v>
      </c>
      <c r="F8" s="6" t="str">
        <f ca="1">IFERROR(__xludf.DUMMYFUNCTION("""COMPUTED_VALUE"""),"09.09.23")</f>
        <v>09.09.23</v>
      </c>
      <c r="G8" s="6">
        <f ca="1">IFERROR(__xludf.DUMMYFUNCTION("""COMPUTED_VALUE"""),95)</f>
        <v>95</v>
      </c>
      <c r="H8" s="6">
        <f ca="1">IFERROR(__xludf.DUMMYFUNCTION("""COMPUTED_VALUE"""),97)</f>
        <v>97</v>
      </c>
      <c r="I8" s="6">
        <f ca="1">IFERROR(__xludf.DUMMYFUNCTION("""COMPUTED_VALUE"""),88)</f>
        <v>88</v>
      </c>
      <c r="J8" s="6"/>
      <c r="K8" s="6"/>
      <c r="L8" s="6"/>
      <c r="M8" s="6">
        <f ca="1">IFERROR(__xludf.DUMMYFUNCTION("""COMPUTED_VALUE"""),280)</f>
        <v>280</v>
      </c>
      <c r="N8" s="6">
        <f ca="1">IFERROR(__xludf.DUMMYFUNCTION("""COMPUTED_VALUE"""),280)</f>
        <v>280</v>
      </c>
    </row>
    <row r="9" spans="1:26" ht="12.75">
      <c r="A9" s="6" t="str">
        <f ca="1">IFERROR(__xludf.DUMMYFUNCTION("""COMPUTED_VALUE"""),"Daimar Elp")</f>
        <v>Daimar Elp</v>
      </c>
      <c r="B9" s="6" t="str">
        <f ca="1">IFERROR(__xludf.DUMMYFUNCTION("""COMPUTED_VALUE"""),"Tartu")</f>
        <v>Tartu</v>
      </c>
      <c r="C9" s="6" t="str">
        <f ca="1">IFERROR(__xludf.DUMMYFUNCTION("""COMPUTED_VALUE"""),"M")</f>
        <v>M</v>
      </c>
      <c r="D9" s="6" t="str">
        <f ca="1">IFERROR(__xludf.DUMMYFUNCTION("""COMPUTED_VALUE"""),"100m 3x10 H2")</f>
        <v>100m 3x10 H2</v>
      </c>
      <c r="E9" s="6" t="str">
        <f ca="1">IFERROR(__xludf.DUMMYFUNCTION("""COMPUTED_VALUE"""),"Võistkond")</f>
        <v>Võistkond</v>
      </c>
      <c r="F9" s="6" t="str">
        <f ca="1">IFERROR(__xludf.DUMMYFUNCTION("""COMPUTED_VALUE"""),"10.09.23")</f>
        <v>10.09.23</v>
      </c>
      <c r="G9" s="6">
        <f ca="1">IFERROR(__xludf.DUMMYFUNCTION("""COMPUTED_VALUE"""),91)</f>
        <v>91</v>
      </c>
      <c r="H9" s="6">
        <f ca="1">IFERROR(__xludf.DUMMYFUNCTION("""COMPUTED_VALUE"""),92)</f>
        <v>92</v>
      </c>
      <c r="I9" s="6">
        <f ca="1">IFERROR(__xludf.DUMMYFUNCTION("""COMPUTED_VALUE"""),96)</f>
        <v>96</v>
      </c>
      <c r="J9" s="6"/>
      <c r="K9" s="6"/>
      <c r="L9" s="6"/>
      <c r="M9" s="6">
        <f ca="1">IFERROR(__xludf.DUMMYFUNCTION("""COMPUTED_VALUE"""),279)</f>
        <v>279</v>
      </c>
      <c r="N9" s="6">
        <f ca="1">IFERROR(__xludf.DUMMYFUNCTION("""COMPUTED_VALUE"""),279)</f>
        <v>279</v>
      </c>
    </row>
    <row r="10" spans="1:26" ht="12.75">
      <c r="A10" s="6" t="str">
        <f ca="1">IFERROR(__xludf.DUMMYFUNCTION("""COMPUTED_VALUE"""),"Ain Muru")</f>
        <v>Ain Muru</v>
      </c>
      <c r="B10" s="6" t="str">
        <f ca="1">IFERROR(__xludf.DUMMYFUNCTION("""COMPUTED_VALUE"""),"Tallinn")</f>
        <v>Tallinn</v>
      </c>
      <c r="C10" s="6" t="str">
        <f ca="1">IFERROR(__xludf.DUMMYFUNCTION("""COMPUTED_VALUE"""),"M")</f>
        <v>M</v>
      </c>
      <c r="D10" s="6" t="str">
        <f ca="1">IFERROR(__xludf.DUMMYFUNCTION("""COMPUTED_VALUE"""),"100m 3x10 H2")</f>
        <v>100m 3x10 H2</v>
      </c>
      <c r="E10" s="6" t="str">
        <f ca="1">IFERROR(__xludf.DUMMYFUNCTION("""COMPUTED_VALUE"""),"Võistkond")</f>
        <v>Võistkond</v>
      </c>
      <c r="F10" s="6" t="str">
        <f ca="1">IFERROR(__xludf.DUMMYFUNCTION("""COMPUTED_VALUE"""),"09.09.23")</f>
        <v>09.09.23</v>
      </c>
      <c r="G10" s="6">
        <f ca="1">IFERROR(__xludf.DUMMYFUNCTION("""COMPUTED_VALUE"""),97)</f>
        <v>97</v>
      </c>
      <c r="H10" s="6">
        <f ca="1">IFERROR(__xludf.DUMMYFUNCTION("""COMPUTED_VALUE"""),90)</f>
        <v>90</v>
      </c>
      <c r="I10" s="6">
        <f ca="1">IFERROR(__xludf.DUMMYFUNCTION("""COMPUTED_VALUE"""),92)</f>
        <v>92</v>
      </c>
      <c r="J10" s="6"/>
      <c r="K10" s="6"/>
      <c r="L10" s="6"/>
      <c r="M10" s="6">
        <f ca="1">IFERROR(__xludf.DUMMYFUNCTION("""COMPUTED_VALUE"""),279)</f>
        <v>279</v>
      </c>
      <c r="N10" s="6">
        <f ca="1">IFERROR(__xludf.DUMMYFUNCTION("""COMPUTED_VALUE"""),279)</f>
        <v>279</v>
      </c>
    </row>
    <row r="11" spans="1:26" ht="12.75">
      <c r="A11" s="6" t="str">
        <f ca="1">IFERROR(__xludf.DUMMYFUNCTION("""COMPUTED_VALUE"""),"Jaanus Kala")</f>
        <v>Jaanus Kala</v>
      </c>
      <c r="B11" s="6" t="str">
        <f ca="1">IFERROR(__xludf.DUMMYFUNCTION("""COMPUTED_VALUE"""),"Võrumaa")</f>
        <v>Võrumaa</v>
      </c>
      <c r="C11" s="6" t="str">
        <f ca="1">IFERROR(__xludf.DUMMYFUNCTION("""COMPUTED_VALUE"""),"M")</f>
        <v>M</v>
      </c>
      <c r="D11" s="6" t="str">
        <f ca="1">IFERROR(__xludf.DUMMYFUNCTION("""COMPUTED_VALUE"""),"100m 3x10 H2")</f>
        <v>100m 3x10 H2</v>
      </c>
      <c r="E11" s="6" t="str">
        <f ca="1">IFERROR(__xludf.DUMMYFUNCTION("""COMPUTED_VALUE"""),"Võistkond")</f>
        <v>Võistkond</v>
      </c>
      <c r="F11" s="6" t="str">
        <f ca="1">IFERROR(__xludf.DUMMYFUNCTION("""COMPUTED_VALUE"""),"10.09.23")</f>
        <v>10.09.23</v>
      </c>
      <c r="G11" s="6">
        <f ca="1">IFERROR(__xludf.DUMMYFUNCTION("""COMPUTED_VALUE"""),95)</f>
        <v>95</v>
      </c>
      <c r="H11" s="6">
        <f ca="1">IFERROR(__xludf.DUMMYFUNCTION("""COMPUTED_VALUE"""),96)</f>
        <v>96</v>
      </c>
      <c r="I11" s="6">
        <f ca="1">IFERROR(__xludf.DUMMYFUNCTION("""COMPUTED_VALUE"""),88)</f>
        <v>88</v>
      </c>
      <c r="J11" s="6"/>
      <c r="K11" s="6"/>
      <c r="L11" s="6"/>
      <c r="M11" s="6">
        <f ca="1">IFERROR(__xludf.DUMMYFUNCTION("""COMPUTED_VALUE"""),279)</f>
        <v>279</v>
      </c>
      <c r="N11" s="6">
        <f ca="1">IFERROR(__xludf.DUMMYFUNCTION("""COMPUTED_VALUE"""),279)</f>
        <v>279</v>
      </c>
    </row>
    <row r="12" spans="1:26" ht="12.75">
      <c r="A12" s="6" t="str">
        <f ca="1">IFERROR(__xludf.DUMMYFUNCTION("""COMPUTED_VALUE"""),"Andres Välli")</f>
        <v>Andres Välli</v>
      </c>
      <c r="B12" s="6" t="str">
        <f ca="1">IFERROR(__xludf.DUMMYFUNCTION("""COMPUTED_VALUE"""),"Järva")</f>
        <v>Järva</v>
      </c>
      <c r="C12" s="6" t="str">
        <f ca="1">IFERROR(__xludf.DUMMYFUNCTION("""COMPUTED_VALUE"""),"M")</f>
        <v>M</v>
      </c>
      <c r="D12" s="6" t="str">
        <f ca="1">IFERROR(__xludf.DUMMYFUNCTION("""COMPUTED_VALUE"""),"100m 3x10 H2")</f>
        <v>100m 3x10 H2</v>
      </c>
      <c r="E12" s="6" t="str">
        <f ca="1">IFERROR(__xludf.DUMMYFUNCTION("""COMPUTED_VALUE"""),"Võistkond")</f>
        <v>Võistkond</v>
      </c>
      <c r="F12" s="6" t="str">
        <f ca="1">IFERROR(__xludf.DUMMYFUNCTION("""COMPUTED_VALUE"""),"09.09.23")</f>
        <v>09.09.23</v>
      </c>
      <c r="G12" s="6">
        <f ca="1">IFERROR(__xludf.DUMMYFUNCTION("""COMPUTED_VALUE"""),97)</f>
        <v>97</v>
      </c>
      <c r="H12" s="6">
        <f ca="1">IFERROR(__xludf.DUMMYFUNCTION("""COMPUTED_VALUE"""),92)</f>
        <v>92</v>
      </c>
      <c r="I12" s="6">
        <f ca="1">IFERROR(__xludf.DUMMYFUNCTION("""COMPUTED_VALUE"""),89)</f>
        <v>89</v>
      </c>
      <c r="J12" s="6"/>
      <c r="K12" s="6"/>
      <c r="L12" s="6"/>
      <c r="M12" s="6">
        <f ca="1">IFERROR(__xludf.DUMMYFUNCTION("""COMPUTED_VALUE"""),278)</f>
        <v>278</v>
      </c>
      <c r="N12" s="6">
        <f ca="1">IFERROR(__xludf.DUMMYFUNCTION("""COMPUTED_VALUE"""),278)</f>
        <v>278</v>
      </c>
    </row>
    <row r="13" spans="1:26" ht="12.75">
      <c r="A13" s="6" t="str">
        <f ca="1">IFERROR(__xludf.DUMMYFUNCTION("""COMPUTED_VALUE"""),"Sirle Baldesport-Märss")</f>
        <v>Sirle Baldesport-Märss</v>
      </c>
      <c r="B13" s="6" t="str">
        <f ca="1">IFERROR(__xludf.DUMMYFUNCTION("""COMPUTED_VALUE"""),"Tallinn")</f>
        <v>Tallinn</v>
      </c>
      <c r="C13" s="6" t="str">
        <f ca="1">IFERROR(__xludf.DUMMYFUNCTION("""COMPUTED_VALUE"""),"N")</f>
        <v>N</v>
      </c>
      <c r="D13" s="6" t="str">
        <f ca="1">IFERROR(__xludf.DUMMYFUNCTION("""COMPUTED_VALUE"""),"100m 3x10 H2")</f>
        <v>100m 3x10 H2</v>
      </c>
      <c r="E13" s="6" t="str">
        <f ca="1">IFERROR(__xludf.DUMMYFUNCTION("""COMPUTED_VALUE"""),"Individuaalne")</f>
        <v>Individuaalne</v>
      </c>
      <c r="F13" s="6" t="str">
        <f ca="1">IFERROR(__xludf.DUMMYFUNCTION("""COMPUTED_VALUE"""),"09.09.23")</f>
        <v>09.09.23</v>
      </c>
      <c r="G13" s="6">
        <f ca="1">IFERROR(__xludf.DUMMYFUNCTION("""COMPUTED_VALUE"""),92)</f>
        <v>92</v>
      </c>
      <c r="H13" s="6">
        <f ca="1">IFERROR(__xludf.DUMMYFUNCTION("""COMPUTED_VALUE"""),92)</f>
        <v>92</v>
      </c>
      <c r="I13" s="6">
        <f ca="1">IFERROR(__xludf.DUMMYFUNCTION("""COMPUTED_VALUE"""),92)</f>
        <v>92</v>
      </c>
      <c r="J13" s="6"/>
      <c r="K13" s="6"/>
      <c r="L13" s="6"/>
      <c r="M13" s="6">
        <f ca="1">IFERROR(__xludf.DUMMYFUNCTION("""COMPUTED_VALUE"""),276)</f>
        <v>276</v>
      </c>
      <c r="N13" s="6"/>
    </row>
    <row r="14" spans="1:26" ht="12.75">
      <c r="A14" s="6" t="str">
        <f ca="1">IFERROR(__xludf.DUMMYFUNCTION("""COMPUTED_VALUE"""),"Vahur Saaremets")</f>
        <v>Vahur Saaremets</v>
      </c>
      <c r="B14" s="6" t="str">
        <f ca="1">IFERROR(__xludf.DUMMYFUNCTION("""COMPUTED_VALUE"""),"Viru")</f>
        <v>Viru</v>
      </c>
      <c r="C14" s="6" t="str">
        <f ca="1">IFERROR(__xludf.DUMMYFUNCTION("""COMPUTED_VALUE"""),"M")</f>
        <v>M</v>
      </c>
      <c r="D14" s="6" t="str">
        <f ca="1">IFERROR(__xludf.DUMMYFUNCTION("""COMPUTED_VALUE"""),"100m 3x10 H2")</f>
        <v>100m 3x10 H2</v>
      </c>
      <c r="E14" s="6" t="str">
        <f ca="1">IFERROR(__xludf.DUMMYFUNCTION("""COMPUTED_VALUE"""),"Võistkond")</f>
        <v>Võistkond</v>
      </c>
      <c r="F14" s="6" t="str">
        <f ca="1">IFERROR(__xludf.DUMMYFUNCTION("""COMPUTED_VALUE"""),"10.09.23")</f>
        <v>10.09.23</v>
      </c>
      <c r="G14" s="6">
        <f ca="1">IFERROR(__xludf.DUMMYFUNCTION("""COMPUTED_VALUE"""),96)</f>
        <v>96</v>
      </c>
      <c r="H14" s="6">
        <f ca="1">IFERROR(__xludf.DUMMYFUNCTION("""COMPUTED_VALUE"""),93)</f>
        <v>93</v>
      </c>
      <c r="I14" s="6">
        <f ca="1">IFERROR(__xludf.DUMMYFUNCTION("""COMPUTED_VALUE"""),87)</f>
        <v>87</v>
      </c>
      <c r="J14" s="6"/>
      <c r="K14" s="6"/>
      <c r="L14" s="6"/>
      <c r="M14" s="6">
        <f ca="1">IFERROR(__xludf.DUMMYFUNCTION("""COMPUTED_VALUE"""),276)</f>
        <v>276</v>
      </c>
      <c r="N14" s="6">
        <f ca="1">IFERROR(__xludf.DUMMYFUNCTION("""COMPUTED_VALUE"""),276)</f>
        <v>276</v>
      </c>
    </row>
    <row r="15" spans="1:26" ht="12.75">
      <c r="A15" s="6" t="str">
        <f ca="1">IFERROR(__xludf.DUMMYFUNCTION("""COMPUTED_VALUE"""),"Juss Leinbock")</f>
        <v>Juss Leinbock</v>
      </c>
      <c r="B15" s="6" t="str">
        <f ca="1">IFERROR(__xludf.DUMMYFUNCTION("""COMPUTED_VALUE"""),"Alutaguse")</f>
        <v>Alutaguse</v>
      </c>
      <c r="C15" s="6" t="str">
        <f ca="1">IFERROR(__xludf.DUMMYFUNCTION("""COMPUTED_VALUE"""),"M")</f>
        <v>M</v>
      </c>
      <c r="D15" s="6" t="str">
        <f ca="1">IFERROR(__xludf.DUMMYFUNCTION("""COMPUTED_VALUE"""),"100m 3x10 H2")</f>
        <v>100m 3x10 H2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IFERROR(__xludf.DUMMYFUNCTION("""COMPUTED_VALUE"""),97)</f>
        <v>97</v>
      </c>
      <c r="H15" s="6">
        <f ca="1">IFERROR(__xludf.DUMMYFUNCTION("""COMPUTED_VALUE"""),91)</f>
        <v>91</v>
      </c>
      <c r="I15" s="6">
        <f ca="1">IFERROR(__xludf.DUMMYFUNCTION("""COMPUTED_VALUE"""),87)</f>
        <v>87</v>
      </c>
      <c r="J15" s="6"/>
      <c r="K15" s="6"/>
      <c r="L15" s="6"/>
      <c r="M15" s="6">
        <f ca="1">IFERROR(__xludf.DUMMYFUNCTION("""COMPUTED_VALUE"""),275)</f>
        <v>275</v>
      </c>
      <c r="N15" s="6">
        <f ca="1">IFERROR(__xludf.DUMMYFUNCTION("""COMPUTED_VALUE"""),275)</f>
        <v>275</v>
      </c>
    </row>
    <row r="16" spans="1:26" ht="12.75">
      <c r="A16" s="6" t="str">
        <f ca="1">IFERROR(__xludf.DUMMYFUNCTION("""COMPUTED_VALUE"""),"Ljudmila Kortšagina")</f>
        <v>Ljudmila Kortšagina</v>
      </c>
      <c r="B16" s="6" t="str">
        <f ca="1">IFERROR(__xludf.DUMMYFUNCTION("""COMPUTED_VALUE"""),"Tallinn")</f>
        <v>Tallinn</v>
      </c>
      <c r="C16" s="6" t="str">
        <f ca="1">IFERROR(__xludf.DUMMYFUNCTION("""COMPUTED_VALUE"""),"N")</f>
        <v>N</v>
      </c>
      <c r="D16" s="6" t="str">
        <f ca="1">IFERROR(__xludf.DUMMYFUNCTION("""COMPUTED_VALUE"""),"100m 3x10 H2")</f>
        <v>100m 3x10 H2</v>
      </c>
      <c r="E16" s="6" t="str">
        <f ca="1">IFERROR(__xludf.DUMMYFUNCTION("""COMPUTED_VALUE"""),"Võistkond")</f>
        <v>Võistkond</v>
      </c>
      <c r="F16" s="6" t="str">
        <f ca="1">IFERROR(__xludf.DUMMYFUNCTION("""COMPUTED_VALUE"""),"09.09.23")</f>
        <v>09.09.23</v>
      </c>
      <c r="G16" s="6">
        <f ca="1">IFERROR(__xludf.DUMMYFUNCTION("""COMPUTED_VALUE"""),89)</f>
        <v>89</v>
      </c>
      <c r="H16" s="6">
        <f ca="1">IFERROR(__xludf.DUMMYFUNCTION("""COMPUTED_VALUE"""),93)</f>
        <v>93</v>
      </c>
      <c r="I16" s="6">
        <f ca="1">IFERROR(__xludf.DUMMYFUNCTION("""COMPUTED_VALUE"""),92)</f>
        <v>92</v>
      </c>
      <c r="J16" s="6"/>
      <c r="K16" s="6"/>
      <c r="L16" s="6"/>
      <c r="M16" s="6">
        <f ca="1">IFERROR(__xludf.DUMMYFUNCTION("""COMPUTED_VALUE"""),274)</f>
        <v>274</v>
      </c>
      <c r="N16" s="6">
        <f ca="1">IFERROR(__xludf.DUMMYFUNCTION("""COMPUTED_VALUE"""),274)</f>
        <v>274</v>
      </c>
    </row>
    <row r="17" spans="1:14" ht="12.75">
      <c r="A17" s="6" t="str">
        <f ca="1">IFERROR(__xludf.DUMMYFUNCTION("""COMPUTED_VALUE"""),"Toomas Niinemäe")</f>
        <v>Toomas Niinemäe</v>
      </c>
      <c r="B17" s="6" t="str">
        <f ca="1">IFERROR(__xludf.DUMMYFUNCTION("""COMPUTED_VALUE"""),"Tallinn")</f>
        <v>Tallinn</v>
      </c>
      <c r="C17" s="6" t="str">
        <f ca="1">IFERROR(__xludf.DUMMYFUNCTION("""COMPUTED_VALUE"""),"M")</f>
        <v>M</v>
      </c>
      <c r="D17" s="6" t="str">
        <f ca="1">IFERROR(__xludf.DUMMYFUNCTION("""COMPUTED_VALUE"""),"100m 3x10 H2")</f>
        <v>100m 3x10 H2</v>
      </c>
      <c r="E17" s="6" t="str">
        <f ca="1">IFERROR(__xludf.DUMMYFUNCTION("""COMPUTED_VALUE"""),"Võistkond")</f>
        <v>Võistkond</v>
      </c>
      <c r="F17" s="6" t="str">
        <f ca="1">IFERROR(__xludf.DUMMYFUNCTION("""COMPUTED_VALUE"""),"09.09.23")</f>
        <v>09.09.23</v>
      </c>
      <c r="G17" s="6">
        <f ca="1">IFERROR(__xludf.DUMMYFUNCTION("""COMPUTED_VALUE"""),95)</f>
        <v>95</v>
      </c>
      <c r="H17" s="6">
        <f ca="1">IFERROR(__xludf.DUMMYFUNCTION("""COMPUTED_VALUE"""),89)</f>
        <v>89</v>
      </c>
      <c r="I17" s="6">
        <f ca="1">IFERROR(__xludf.DUMMYFUNCTION("""COMPUTED_VALUE"""),90)</f>
        <v>90</v>
      </c>
      <c r="J17" s="6"/>
      <c r="K17" s="6"/>
      <c r="L17" s="6"/>
      <c r="M17" s="6">
        <f ca="1">IFERROR(__xludf.DUMMYFUNCTION("""COMPUTED_VALUE"""),274)</f>
        <v>274</v>
      </c>
      <c r="N17" s="6">
        <f ca="1">IFERROR(__xludf.DUMMYFUNCTION("""COMPUTED_VALUE"""),274)</f>
        <v>274</v>
      </c>
    </row>
    <row r="18" spans="1:14" ht="12.75">
      <c r="A18" s="6" t="str">
        <f ca="1">IFERROR(__xludf.DUMMYFUNCTION("""COMPUTED_VALUE"""),"Siim Illopmägi")</f>
        <v>Siim Illopmägi</v>
      </c>
      <c r="B18" s="6" t="str">
        <f ca="1">IFERROR(__xludf.DUMMYFUNCTION("""COMPUTED_VALUE"""),"Rapla")</f>
        <v>Rapla</v>
      </c>
      <c r="C18" s="6" t="str">
        <f ca="1">IFERROR(__xludf.DUMMYFUNCTION("""COMPUTED_VALUE"""),"M")</f>
        <v>M</v>
      </c>
      <c r="D18" s="6" t="str">
        <f ca="1">IFERROR(__xludf.DUMMYFUNCTION("""COMPUTED_VALUE"""),"100m 3x10 H2")</f>
        <v>100m 3x10 H2</v>
      </c>
      <c r="E18" s="6" t="str">
        <f ca="1">IFERROR(__xludf.DUMMYFUNCTION("""COMPUTED_VALUE"""),"Võistkond")</f>
        <v>Võistkond</v>
      </c>
      <c r="F18" s="6" t="str">
        <f ca="1">IFERROR(__xludf.DUMMYFUNCTION("""COMPUTED_VALUE"""),"10.09.23")</f>
        <v>10.09.23</v>
      </c>
      <c r="G18" s="6">
        <f ca="1">IFERROR(__xludf.DUMMYFUNCTION("""COMPUTED_VALUE"""),93)</f>
        <v>93</v>
      </c>
      <c r="H18" s="6">
        <f ca="1">IFERROR(__xludf.DUMMYFUNCTION("""COMPUTED_VALUE"""),92)</f>
        <v>92</v>
      </c>
      <c r="I18" s="6">
        <f ca="1">IFERROR(__xludf.DUMMYFUNCTION("""COMPUTED_VALUE"""),88)</f>
        <v>88</v>
      </c>
      <c r="J18" s="6"/>
      <c r="K18" s="6"/>
      <c r="L18" s="6"/>
      <c r="M18" s="6">
        <f ca="1">IFERROR(__xludf.DUMMYFUNCTION("""COMPUTED_VALUE"""),273)</f>
        <v>273</v>
      </c>
      <c r="N18" s="6">
        <f ca="1">IFERROR(__xludf.DUMMYFUNCTION("""COMPUTED_VALUE"""),273)</f>
        <v>273</v>
      </c>
    </row>
    <row r="19" spans="1:14" ht="12.75">
      <c r="A19" s="6" t="str">
        <f ca="1">IFERROR(__xludf.DUMMYFUNCTION("""COMPUTED_VALUE"""),"Aivar Liivrand")</f>
        <v>Aivar Liivrand</v>
      </c>
      <c r="B19" s="6" t="str">
        <f ca="1">IFERROR(__xludf.DUMMYFUNCTION("""COMPUTED_VALUE"""),"Harju")</f>
        <v>Harju</v>
      </c>
      <c r="C19" s="6" t="str">
        <f ca="1">IFERROR(__xludf.DUMMYFUNCTION("""COMPUTED_VALUE"""),"M")</f>
        <v>M</v>
      </c>
      <c r="D19" s="6" t="str">
        <f ca="1">IFERROR(__xludf.DUMMYFUNCTION("""COMPUTED_VALUE"""),"100m 3x10 H2")</f>
        <v>100m 3x10 H2</v>
      </c>
      <c r="E19" s="6" t="str">
        <f ca="1">IFERROR(__xludf.DUMMYFUNCTION("""COMPUTED_VALUE"""),"Võistkond")</f>
        <v>Võistkond</v>
      </c>
      <c r="F19" s="6" t="str">
        <f ca="1">IFERROR(__xludf.DUMMYFUNCTION("""COMPUTED_VALUE"""),"10.09.23")</f>
        <v>10.09.23</v>
      </c>
      <c r="G19" s="6">
        <f ca="1">IFERROR(__xludf.DUMMYFUNCTION("""COMPUTED_VALUE"""),92)</f>
        <v>92</v>
      </c>
      <c r="H19" s="6">
        <f ca="1">IFERROR(__xludf.DUMMYFUNCTION("""COMPUTED_VALUE"""),89)</f>
        <v>89</v>
      </c>
      <c r="I19" s="6">
        <f ca="1">IFERROR(__xludf.DUMMYFUNCTION("""COMPUTED_VALUE"""),91)</f>
        <v>91</v>
      </c>
      <c r="J19" s="6"/>
      <c r="K19" s="6"/>
      <c r="L19" s="6"/>
      <c r="M19" s="6">
        <f ca="1">IFERROR(__xludf.DUMMYFUNCTION("""COMPUTED_VALUE"""),272)</f>
        <v>272</v>
      </c>
      <c r="N19" s="6">
        <f ca="1">IFERROR(__xludf.DUMMYFUNCTION("""COMPUTED_VALUE"""),272)</f>
        <v>272</v>
      </c>
    </row>
    <row r="20" spans="1:14" ht="12.75">
      <c r="A20" s="6" t="str">
        <f ca="1">IFERROR(__xludf.DUMMYFUNCTION("""COMPUTED_VALUE"""),"Markko Aarne")</f>
        <v>Markko Aarne</v>
      </c>
      <c r="B20" s="6" t="str">
        <f ca="1">IFERROR(__xludf.DUMMYFUNCTION("""COMPUTED_VALUE"""),"Sakala")</f>
        <v>Sakala</v>
      </c>
      <c r="C20" s="6" t="str">
        <f ca="1">IFERROR(__xludf.DUMMYFUNCTION("""COMPUTED_VALUE"""),"M")</f>
        <v>M</v>
      </c>
      <c r="D20" s="6" t="str">
        <f ca="1">IFERROR(__xludf.DUMMYFUNCTION("""COMPUTED_VALUE"""),"100m 3x10 H2")</f>
        <v>100m 3x10 H2</v>
      </c>
      <c r="E20" s="6" t="str">
        <f ca="1">IFERROR(__xludf.DUMMYFUNCTION("""COMPUTED_VALUE"""),"Individuaalne")</f>
        <v>Individuaalne</v>
      </c>
      <c r="F20" s="6" t="str">
        <f ca="1">IFERROR(__xludf.DUMMYFUNCTION("""COMPUTED_VALUE"""),"10.09.23")</f>
        <v>10.09.23</v>
      </c>
      <c r="G20" s="6">
        <f ca="1">IFERROR(__xludf.DUMMYFUNCTION("""COMPUTED_VALUE"""),94)</f>
        <v>94</v>
      </c>
      <c r="H20" s="6">
        <f ca="1">IFERROR(__xludf.DUMMYFUNCTION("""COMPUTED_VALUE"""),91)</f>
        <v>91</v>
      </c>
      <c r="I20" s="6">
        <f ca="1">IFERROR(__xludf.DUMMYFUNCTION("""COMPUTED_VALUE"""),86)</f>
        <v>86</v>
      </c>
      <c r="J20" s="6"/>
      <c r="K20" s="6"/>
      <c r="L20" s="6"/>
      <c r="M20" s="6">
        <f ca="1">IFERROR(__xludf.DUMMYFUNCTION("""COMPUTED_VALUE"""),271)</f>
        <v>271</v>
      </c>
      <c r="N20" s="6"/>
    </row>
    <row r="21" spans="1:14" ht="12.75">
      <c r="A21" s="6" t="str">
        <f ca="1">IFERROR(__xludf.DUMMYFUNCTION("""COMPUTED_VALUE"""),"Margus Riso")</f>
        <v>Margus Riso</v>
      </c>
      <c r="B21" s="6" t="str">
        <f ca="1">IFERROR(__xludf.DUMMYFUNCTION("""COMPUTED_VALUE"""),"Harju")</f>
        <v>Harju</v>
      </c>
      <c r="C21" s="6" t="str">
        <f ca="1">IFERROR(__xludf.DUMMYFUNCTION("""COMPUTED_VALUE"""),"M")</f>
        <v>M</v>
      </c>
      <c r="D21" s="6" t="str">
        <f ca="1">IFERROR(__xludf.DUMMYFUNCTION("""COMPUTED_VALUE"""),"100m 3x10 H2")</f>
        <v>100m 3x10 H2</v>
      </c>
      <c r="E21" s="6" t="str">
        <f ca="1">IFERROR(__xludf.DUMMYFUNCTION("""COMPUTED_VALUE"""),"Individuaalne")</f>
        <v>Individuaalne</v>
      </c>
      <c r="F21" s="6" t="str">
        <f ca="1">IFERROR(__xludf.DUMMYFUNCTION("""COMPUTED_VALUE"""),"10.09.23")</f>
        <v>10.09.23</v>
      </c>
      <c r="G21" s="6">
        <f ca="1">IFERROR(__xludf.DUMMYFUNCTION("""COMPUTED_VALUE"""),88)</f>
        <v>88</v>
      </c>
      <c r="H21" s="6">
        <f ca="1">IFERROR(__xludf.DUMMYFUNCTION("""COMPUTED_VALUE"""),94)</f>
        <v>94</v>
      </c>
      <c r="I21" s="6">
        <f ca="1">IFERROR(__xludf.DUMMYFUNCTION("""COMPUTED_VALUE"""),88)</f>
        <v>88</v>
      </c>
      <c r="J21" s="6"/>
      <c r="K21" s="6"/>
      <c r="L21" s="6"/>
      <c r="M21" s="6">
        <f ca="1">IFERROR(__xludf.DUMMYFUNCTION("""COMPUTED_VALUE"""),270)</f>
        <v>270</v>
      </c>
      <c r="N21" s="6"/>
    </row>
    <row r="22" spans="1:14" ht="12.75">
      <c r="A22" s="6" t="str">
        <f ca="1">IFERROR(__xludf.DUMMYFUNCTION("""COMPUTED_VALUE"""),"Margus Michelson")</f>
        <v>Margus Michelson</v>
      </c>
      <c r="B22" s="6" t="str">
        <f ca="1">IFERROR(__xludf.DUMMYFUNCTION("""COMPUTED_VALUE"""),"Järva")</f>
        <v>Järva</v>
      </c>
      <c r="C22" s="6" t="str">
        <f ca="1">IFERROR(__xludf.DUMMYFUNCTION("""COMPUTED_VALUE"""),"M")</f>
        <v>M</v>
      </c>
      <c r="D22" s="6" t="str">
        <f ca="1">IFERROR(__xludf.DUMMYFUNCTION("""COMPUTED_VALUE"""),"100m 3x10 H2")</f>
        <v>100m 3x10 H2</v>
      </c>
      <c r="E22" s="6" t="str">
        <f ca="1">IFERROR(__xludf.DUMMYFUNCTION("""COMPUTED_VALUE"""),"Individuaalne")</f>
        <v>Individuaalne</v>
      </c>
      <c r="F22" s="6" t="str">
        <f ca="1">IFERROR(__xludf.DUMMYFUNCTION("""COMPUTED_VALUE"""),"09.09.23")</f>
        <v>09.09.23</v>
      </c>
      <c r="G22" s="6">
        <f ca="1">IFERROR(__xludf.DUMMYFUNCTION("""COMPUTED_VALUE"""),97)</f>
        <v>97</v>
      </c>
      <c r="H22" s="6">
        <f ca="1">IFERROR(__xludf.DUMMYFUNCTION("""COMPUTED_VALUE"""),87)</f>
        <v>87</v>
      </c>
      <c r="I22" s="6">
        <f ca="1">IFERROR(__xludf.DUMMYFUNCTION("""COMPUTED_VALUE"""),86)</f>
        <v>86</v>
      </c>
      <c r="J22" s="6"/>
      <c r="K22" s="6"/>
      <c r="L22" s="6"/>
      <c r="M22" s="6">
        <f ca="1">IFERROR(__xludf.DUMMYFUNCTION("""COMPUTED_VALUE"""),270)</f>
        <v>270</v>
      </c>
      <c r="N22" s="6"/>
    </row>
    <row r="23" spans="1:14" ht="12.75">
      <c r="A23" s="6" t="str">
        <f ca="1">IFERROR(__xludf.DUMMYFUNCTION("""COMPUTED_VALUE"""),"Kristjan Pahk")</f>
        <v>Kristjan Pahk</v>
      </c>
      <c r="B23" s="6" t="str">
        <f ca="1">IFERROR(__xludf.DUMMYFUNCTION("""COMPUTED_VALUE"""),"Pärnumaa")</f>
        <v>Pärnumaa</v>
      </c>
      <c r="C23" s="6" t="str">
        <f ca="1">IFERROR(__xludf.DUMMYFUNCTION("""COMPUTED_VALUE"""),"M")</f>
        <v>M</v>
      </c>
      <c r="D23" s="6" t="str">
        <f ca="1">IFERROR(__xludf.DUMMYFUNCTION("""COMPUTED_VALUE"""),"100m 3x10 H2")</f>
        <v>100m 3x10 H2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IFERROR(__xludf.DUMMYFUNCTION("""COMPUTED_VALUE"""),97)</f>
        <v>97</v>
      </c>
      <c r="H23" s="6">
        <f ca="1">IFERROR(__xludf.DUMMYFUNCTION("""COMPUTED_VALUE"""),87)</f>
        <v>87</v>
      </c>
      <c r="I23" s="6">
        <f ca="1">IFERROR(__xludf.DUMMYFUNCTION("""COMPUTED_VALUE"""),86)</f>
        <v>86</v>
      </c>
      <c r="J23" s="6"/>
      <c r="K23" s="6"/>
      <c r="L23" s="6"/>
      <c r="M23" s="6">
        <f ca="1">IFERROR(__xludf.DUMMYFUNCTION("""COMPUTED_VALUE"""),270)</f>
        <v>270</v>
      </c>
      <c r="N23" s="6">
        <f ca="1">IFERROR(__xludf.DUMMYFUNCTION("""COMPUTED_VALUE"""),270)</f>
        <v>270</v>
      </c>
    </row>
    <row r="24" spans="1:14" ht="12.75">
      <c r="A24" s="6" t="str">
        <f ca="1">IFERROR(__xludf.DUMMYFUNCTION("""COMPUTED_VALUE"""),"Martti Raavel")</f>
        <v>Martti Raavel</v>
      </c>
      <c r="B24" s="6" t="str">
        <f ca="1">IFERROR(__xludf.DUMMYFUNCTION("""COMPUTED_VALUE"""),"KKÜ")</f>
        <v>KKÜ</v>
      </c>
      <c r="C24" s="6" t="str">
        <f ca="1">IFERROR(__xludf.DUMMYFUNCTION("""COMPUTED_VALUE"""),"M")</f>
        <v>M</v>
      </c>
      <c r="D24" s="6" t="str">
        <f ca="1">IFERROR(__xludf.DUMMYFUNCTION("""COMPUTED_VALUE"""),"100m 3x10 H2")</f>
        <v>100m 3x10 H2</v>
      </c>
      <c r="E24" s="6" t="str">
        <f ca="1">IFERROR(__xludf.DUMMYFUNCTION("""COMPUTED_VALUE"""),"Võistkond")</f>
        <v>Võistkond</v>
      </c>
      <c r="F24" s="6" t="str">
        <f ca="1">IFERROR(__xludf.DUMMYFUNCTION("""COMPUTED_VALUE"""),"09.09.23")</f>
        <v>09.09.23</v>
      </c>
      <c r="G24" s="6">
        <f ca="1">IFERROR(__xludf.DUMMYFUNCTION("""COMPUTED_VALUE"""),96)</f>
        <v>96</v>
      </c>
      <c r="H24" s="6">
        <f ca="1">IFERROR(__xludf.DUMMYFUNCTION("""COMPUTED_VALUE"""),89)</f>
        <v>89</v>
      </c>
      <c r="I24" s="6">
        <f ca="1">IFERROR(__xludf.DUMMYFUNCTION("""COMPUTED_VALUE"""),85)</f>
        <v>85</v>
      </c>
      <c r="J24" s="6"/>
      <c r="K24" s="6"/>
      <c r="L24" s="6"/>
      <c r="M24" s="6">
        <f ca="1">IFERROR(__xludf.DUMMYFUNCTION("""COMPUTED_VALUE"""),270)</f>
        <v>270</v>
      </c>
      <c r="N24" s="6">
        <f ca="1">IFERROR(__xludf.DUMMYFUNCTION("""COMPUTED_VALUE"""),270)</f>
        <v>270</v>
      </c>
    </row>
    <row r="25" spans="1:14" ht="12.75">
      <c r="A25" s="6" t="str">
        <f ca="1">IFERROR(__xludf.DUMMYFUNCTION("""COMPUTED_VALUE"""),"Taivo Eylandt")</f>
        <v>Taivo Eylandt</v>
      </c>
      <c r="B25" s="6" t="str">
        <f ca="1">IFERROR(__xludf.DUMMYFUNCTION("""COMPUTED_VALUE"""),"Viru")</f>
        <v>Viru</v>
      </c>
      <c r="C25" s="6" t="str">
        <f ca="1">IFERROR(__xludf.DUMMYFUNCTION("""COMPUTED_VALUE"""),"M")</f>
        <v>M</v>
      </c>
      <c r="D25" s="6" t="str">
        <f ca="1">IFERROR(__xludf.DUMMYFUNCTION("""COMPUTED_VALUE"""),"100m 3x10 H2")</f>
        <v>100m 3x10 H2</v>
      </c>
      <c r="E25" s="6" t="str">
        <f ca="1">IFERROR(__xludf.DUMMYFUNCTION("""COMPUTED_VALUE"""),"Võistkond")</f>
        <v>Võistkond</v>
      </c>
      <c r="F25" s="6" t="str">
        <f ca="1">IFERROR(__xludf.DUMMYFUNCTION("""COMPUTED_VALUE"""),"10.09.23")</f>
        <v>10.09.23</v>
      </c>
      <c r="G25" s="6">
        <f ca="1">IFERROR(__xludf.DUMMYFUNCTION("""COMPUTED_VALUE"""),95)</f>
        <v>95</v>
      </c>
      <c r="H25" s="6">
        <f ca="1">IFERROR(__xludf.DUMMYFUNCTION("""COMPUTED_VALUE"""),90)</f>
        <v>90</v>
      </c>
      <c r="I25" s="6">
        <f ca="1">IFERROR(__xludf.DUMMYFUNCTION("""COMPUTED_VALUE"""),85)</f>
        <v>85</v>
      </c>
      <c r="J25" s="6"/>
      <c r="K25" s="6"/>
      <c r="L25" s="6"/>
      <c r="M25" s="6">
        <f ca="1">IFERROR(__xludf.DUMMYFUNCTION("""COMPUTED_VALUE"""),270)</f>
        <v>270</v>
      </c>
      <c r="N25" s="6">
        <f ca="1">IFERROR(__xludf.DUMMYFUNCTION("""COMPUTED_VALUE"""),270)</f>
        <v>270</v>
      </c>
    </row>
    <row r="26" spans="1:14" ht="12.75">
      <c r="A26" s="6" t="str">
        <f ca="1">IFERROR(__xludf.DUMMYFUNCTION("""COMPUTED_VALUE"""),"Jekaterina Tihhomirova")</f>
        <v>Jekaterina Tihhomirova</v>
      </c>
      <c r="B26" s="6" t="str">
        <f ca="1">IFERROR(__xludf.DUMMYFUNCTION("""COMPUTED_VALUE"""),"Alutaguse")</f>
        <v>Alutaguse</v>
      </c>
      <c r="C26" s="6" t="str">
        <f ca="1">IFERROR(__xludf.DUMMYFUNCTION("""COMPUTED_VALUE"""),"N")</f>
        <v>N</v>
      </c>
      <c r="D26" s="6" t="str">
        <f ca="1">IFERROR(__xludf.DUMMYFUNCTION("""COMPUTED_VALUE"""),"100m 3x10 H2")</f>
        <v>100m 3x10 H2</v>
      </c>
      <c r="E26" s="6" t="str">
        <f ca="1">IFERROR(__xludf.DUMMYFUNCTION("""COMPUTED_VALUE"""),"Individuaalne")</f>
        <v>Individuaalne</v>
      </c>
      <c r="F26" s="6" t="str">
        <f ca="1">IFERROR(__xludf.DUMMYFUNCTION("""COMPUTED_VALUE"""),"09.09.23")</f>
        <v>09.09.23</v>
      </c>
      <c r="G26" s="6">
        <f ca="1">IFERROR(__xludf.DUMMYFUNCTION("""COMPUTED_VALUE"""),97)</f>
        <v>97</v>
      </c>
      <c r="H26" s="6">
        <f ca="1">IFERROR(__xludf.DUMMYFUNCTION("""COMPUTED_VALUE"""),92)</f>
        <v>92</v>
      </c>
      <c r="I26" s="6">
        <f ca="1">IFERROR(__xludf.DUMMYFUNCTION("""COMPUTED_VALUE"""),81)</f>
        <v>81</v>
      </c>
      <c r="J26" s="6"/>
      <c r="K26" s="6"/>
      <c r="L26" s="6"/>
      <c r="M26" s="6">
        <f ca="1">IFERROR(__xludf.DUMMYFUNCTION("""COMPUTED_VALUE"""),270)</f>
        <v>270</v>
      </c>
      <c r="N26" s="6"/>
    </row>
    <row r="27" spans="1:14" ht="12.75">
      <c r="A27" s="6" t="str">
        <f ca="1">IFERROR(__xludf.DUMMYFUNCTION("""COMPUTED_VALUE"""),"Ivar Siidirätsep")</f>
        <v>Ivar Siidirätsep</v>
      </c>
      <c r="B27" s="6" t="str">
        <f ca="1">IFERROR(__xludf.DUMMYFUNCTION("""COMPUTED_VALUE"""),"Sakala")</f>
        <v>Sakala</v>
      </c>
      <c r="C27" s="6" t="str">
        <f ca="1">IFERROR(__xludf.DUMMYFUNCTION("""COMPUTED_VALUE"""),"M")</f>
        <v>M</v>
      </c>
      <c r="D27" s="6" t="str">
        <f ca="1">IFERROR(__xludf.DUMMYFUNCTION("""COMPUTED_VALUE"""),"100m 3x10 H2")</f>
        <v>100m 3x10 H2</v>
      </c>
      <c r="E27" s="6" t="str">
        <f ca="1">IFERROR(__xludf.DUMMYFUNCTION("""COMPUTED_VALUE"""),"Võistkond")</f>
        <v>Võistkond</v>
      </c>
      <c r="F27" s="6" t="str">
        <f ca="1">IFERROR(__xludf.DUMMYFUNCTION("""COMPUTED_VALUE"""),"10.09.23")</f>
        <v>10.09.23</v>
      </c>
      <c r="G27" s="6">
        <f ca="1">IFERROR(__xludf.DUMMYFUNCTION("""COMPUTED_VALUE"""),94)</f>
        <v>94</v>
      </c>
      <c r="H27" s="6">
        <f ca="1">IFERROR(__xludf.DUMMYFUNCTION("""COMPUTED_VALUE"""),92)</f>
        <v>92</v>
      </c>
      <c r="I27" s="6">
        <f ca="1">IFERROR(__xludf.DUMMYFUNCTION("""COMPUTED_VALUE"""),83)</f>
        <v>83</v>
      </c>
      <c r="J27" s="6"/>
      <c r="K27" s="6"/>
      <c r="L27" s="6"/>
      <c r="M27" s="6">
        <f ca="1">IFERROR(__xludf.DUMMYFUNCTION("""COMPUTED_VALUE"""),269)</f>
        <v>269</v>
      </c>
      <c r="N27" s="6">
        <f ca="1">IFERROR(__xludf.DUMMYFUNCTION("""COMPUTED_VALUE"""),269)</f>
        <v>269</v>
      </c>
    </row>
    <row r="28" spans="1:14" ht="12.75">
      <c r="A28" s="6" t="str">
        <f ca="1">IFERROR(__xludf.DUMMYFUNCTION("""COMPUTED_VALUE"""),"Aleksei Osokin")</f>
        <v>Aleksei Osokin</v>
      </c>
      <c r="B28" s="6" t="str">
        <f ca="1">IFERROR(__xludf.DUMMYFUNCTION("""COMPUTED_VALUE"""),"Viru")</f>
        <v>Viru</v>
      </c>
      <c r="C28" s="6" t="str">
        <f ca="1">IFERROR(__xludf.DUMMYFUNCTION("""COMPUTED_VALUE"""),"M")</f>
        <v>M</v>
      </c>
      <c r="D28" s="6" t="str">
        <f ca="1">IFERROR(__xludf.DUMMYFUNCTION("""COMPUTED_VALUE"""),"100m 3x10 H2")</f>
        <v>100m 3x10 H2</v>
      </c>
      <c r="E28" s="6" t="str">
        <f ca="1">IFERROR(__xludf.DUMMYFUNCTION("""COMPUTED_VALUE"""),"Võistkond")</f>
        <v>Võistkond</v>
      </c>
      <c r="F28" s="6" t="str">
        <f ca="1">IFERROR(__xludf.DUMMYFUNCTION("""COMPUTED_VALUE"""),"10.09.23")</f>
        <v>10.09.23</v>
      </c>
      <c r="G28" s="6">
        <f ca="1">IFERROR(__xludf.DUMMYFUNCTION("""COMPUTED_VALUE"""),96)</f>
        <v>96</v>
      </c>
      <c r="H28" s="6">
        <f ca="1">IFERROR(__xludf.DUMMYFUNCTION("""COMPUTED_VALUE"""),90)</f>
        <v>90</v>
      </c>
      <c r="I28" s="6">
        <f ca="1">IFERROR(__xludf.DUMMYFUNCTION("""COMPUTED_VALUE"""),83)</f>
        <v>83</v>
      </c>
      <c r="J28" s="6"/>
      <c r="K28" s="6"/>
      <c r="L28" s="6"/>
      <c r="M28" s="6">
        <f ca="1">IFERROR(__xludf.DUMMYFUNCTION("""COMPUTED_VALUE"""),269)</f>
        <v>269</v>
      </c>
      <c r="N28" s="6">
        <f ca="1">IFERROR(__xludf.DUMMYFUNCTION("""COMPUTED_VALUE"""),269)</f>
        <v>269</v>
      </c>
    </row>
    <row r="29" spans="1:14" ht="12.75">
      <c r="A29" s="6" t="str">
        <f ca="1">IFERROR(__xludf.DUMMYFUNCTION("""COMPUTED_VALUE"""),"Rasmus Ruusmäe")</f>
        <v>Rasmus Ruusmäe</v>
      </c>
      <c r="B29" s="6" t="str">
        <f ca="1">IFERROR(__xludf.DUMMYFUNCTION("""COMPUTED_VALUE"""),"KL peastaap")</f>
        <v>KL peastaap</v>
      </c>
      <c r="C29" s="6" t="str">
        <f ca="1">IFERROR(__xludf.DUMMYFUNCTION("""COMPUTED_VALUE"""),"M")</f>
        <v>M</v>
      </c>
      <c r="D29" s="6" t="str">
        <f ca="1">IFERROR(__xludf.DUMMYFUNCTION("""COMPUTED_VALUE"""),"100m 3x10 H2")</f>
        <v>100m 3x10 H2</v>
      </c>
      <c r="E29" s="6" t="str">
        <f ca="1">IFERROR(__xludf.DUMMYFUNCTION("""COMPUTED_VALUE"""),"Võistkond")</f>
        <v>Võistkond</v>
      </c>
      <c r="F29" s="6" t="str">
        <f ca="1">IFERROR(__xludf.DUMMYFUNCTION("""COMPUTED_VALUE"""),"09.09.23")</f>
        <v>09.09.23</v>
      </c>
      <c r="G29" s="6">
        <f ca="1">IFERROR(__xludf.DUMMYFUNCTION("""COMPUTED_VALUE"""),95)</f>
        <v>95</v>
      </c>
      <c r="H29" s="6">
        <f ca="1">IFERROR(__xludf.DUMMYFUNCTION("""COMPUTED_VALUE"""),96)</f>
        <v>96</v>
      </c>
      <c r="I29" s="6">
        <f ca="1">IFERROR(__xludf.DUMMYFUNCTION("""COMPUTED_VALUE"""),78)</f>
        <v>78</v>
      </c>
      <c r="J29" s="6"/>
      <c r="K29" s="6"/>
      <c r="L29" s="6"/>
      <c r="M29" s="6">
        <f ca="1">IFERROR(__xludf.DUMMYFUNCTION("""COMPUTED_VALUE"""),269)</f>
        <v>269</v>
      </c>
      <c r="N29" s="6">
        <f ca="1">IFERROR(__xludf.DUMMYFUNCTION("""COMPUTED_VALUE"""),269)</f>
        <v>269</v>
      </c>
    </row>
    <row r="30" spans="1:14" ht="12.75">
      <c r="A30" s="6" t="str">
        <f ca="1">IFERROR(__xludf.DUMMYFUNCTION("""COMPUTED_VALUE"""),"Kardo Merivald")</f>
        <v>Kardo Merivald</v>
      </c>
      <c r="B30" s="6" t="str">
        <f ca="1">IFERROR(__xludf.DUMMYFUNCTION("""COMPUTED_VALUE"""),"Tallinn")</f>
        <v>Tallinn</v>
      </c>
      <c r="C30" s="6" t="str">
        <f ca="1">IFERROR(__xludf.DUMMYFUNCTION("""COMPUTED_VALUE"""),"M")</f>
        <v>M</v>
      </c>
      <c r="D30" s="6" t="str">
        <f ca="1">IFERROR(__xludf.DUMMYFUNCTION("""COMPUTED_VALUE"""),"100m 3x10 H2")</f>
        <v>100m 3x10 H2</v>
      </c>
      <c r="E30" s="6" t="str">
        <f ca="1">IFERROR(__xludf.DUMMYFUNCTION("""COMPUTED_VALUE"""),"Individuaalne")</f>
        <v>Individuaalne</v>
      </c>
      <c r="F30" s="6" t="str">
        <f ca="1">IFERROR(__xludf.DUMMYFUNCTION("""COMPUTED_VALUE"""),"09.09.23")</f>
        <v>09.09.23</v>
      </c>
      <c r="G30" s="6">
        <f ca="1">IFERROR(__xludf.DUMMYFUNCTION("""COMPUTED_VALUE"""),93)</f>
        <v>93</v>
      </c>
      <c r="H30" s="6">
        <f ca="1">IFERROR(__xludf.DUMMYFUNCTION("""COMPUTED_VALUE"""),89)</f>
        <v>89</v>
      </c>
      <c r="I30" s="6">
        <f ca="1">IFERROR(__xludf.DUMMYFUNCTION("""COMPUTED_VALUE"""),86)</f>
        <v>86</v>
      </c>
      <c r="J30" s="6"/>
      <c r="K30" s="6"/>
      <c r="L30" s="6"/>
      <c r="M30" s="6">
        <f ca="1">IFERROR(__xludf.DUMMYFUNCTION("""COMPUTED_VALUE"""),268)</f>
        <v>268</v>
      </c>
      <c r="N30" s="6"/>
    </row>
    <row r="31" spans="1:14" ht="12.75">
      <c r="A31" s="6" t="str">
        <f ca="1">IFERROR(__xludf.DUMMYFUNCTION("""COMPUTED_VALUE"""),"Oksana Leesik")</f>
        <v>Oksana Leesik</v>
      </c>
      <c r="B31" s="6" t="str">
        <f ca="1">IFERROR(__xludf.DUMMYFUNCTION("""COMPUTED_VALUE"""),"Valgamaa")</f>
        <v>Valgamaa</v>
      </c>
      <c r="C31" s="6" t="str">
        <f ca="1">IFERROR(__xludf.DUMMYFUNCTION("""COMPUTED_VALUE"""),"N")</f>
        <v>N</v>
      </c>
      <c r="D31" s="6" t="str">
        <f ca="1">IFERROR(__xludf.DUMMYFUNCTION("""COMPUTED_VALUE"""),"100m 3x10 H2")</f>
        <v>100m 3x10 H2</v>
      </c>
      <c r="E31" s="6" t="str">
        <f ca="1">IFERROR(__xludf.DUMMYFUNCTION("""COMPUTED_VALUE"""),"Võistkond")</f>
        <v>Võistkond</v>
      </c>
      <c r="F31" s="6" t="str">
        <f ca="1">IFERROR(__xludf.DUMMYFUNCTION("""COMPUTED_VALUE"""),"09.09.23")</f>
        <v>09.09.23</v>
      </c>
      <c r="G31" s="6">
        <f ca="1">IFERROR(__xludf.DUMMYFUNCTION("""COMPUTED_VALUE"""),95)</f>
        <v>95</v>
      </c>
      <c r="H31" s="6">
        <f ca="1">IFERROR(__xludf.DUMMYFUNCTION("""COMPUTED_VALUE"""),90)</f>
        <v>90</v>
      </c>
      <c r="I31" s="6">
        <f ca="1">IFERROR(__xludf.DUMMYFUNCTION("""COMPUTED_VALUE"""),83)</f>
        <v>83</v>
      </c>
      <c r="J31" s="6"/>
      <c r="K31" s="6"/>
      <c r="L31" s="6"/>
      <c r="M31" s="6">
        <f ca="1">IFERROR(__xludf.DUMMYFUNCTION("""COMPUTED_VALUE"""),268)</f>
        <v>268</v>
      </c>
      <c r="N31" s="6">
        <f ca="1">IFERROR(__xludf.DUMMYFUNCTION("""COMPUTED_VALUE"""),268)</f>
        <v>268</v>
      </c>
    </row>
    <row r="32" spans="1:14" ht="12.75">
      <c r="A32" s="6" t="str">
        <f ca="1">IFERROR(__xludf.DUMMYFUNCTION("""COMPUTED_VALUE"""),"Meelis Sinijärv")</f>
        <v>Meelis Sinijärv</v>
      </c>
      <c r="B32" s="6" t="str">
        <f ca="1">IFERROR(__xludf.DUMMYFUNCTION("""COMPUTED_VALUE"""),"Pärnumaa")</f>
        <v>Pärnumaa</v>
      </c>
      <c r="C32" s="6" t="str">
        <f ca="1">IFERROR(__xludf.DUMMYFUNCTION("""COMPUTED_VALUE"""),"M")</f>
        <v>M</v>
      </c>
      <c r="D32" s="6" t="str">
        <f ca="1">IFERROR(__xludf.DUMMYFUNCTION("""COMPUTED_VALUE"""),"100m 3x10 H2")</f>
        <v>100m 3x10 H2</v>
      </c>
      <c r="E32" s="6" t="str">
        <f ca="1">IFERROR(__xludf.DUMMYFUNCTION("""COMPUTED_VALUE"""),"Võistkond")</f>
        <v>Võistkond</v>
      </c>
      <c r="F32" s="6" t="str">
        <f ca="1">IFERROR(__xludf.DUMMYFUNCTION("""COMPUTED_VALUE"""),"09.09.23")</f>
        <v>09.09.23</v>
      </c>
      <c r="G32" s="6">
        <f ca="1">IFERROR(__xludf.DUMMYFUNCTION("""COMPUTED_VALUE"""),93)</f>
        <v>93</v>
      </c>
      <c r="H32" s="6">
        <f ca="1">IFERROR(__xludf.DUMMYFUNCTION("""COMPUTED_VALUE"""),96)</f>
        <v>96</v>
      </c>
      <c r="I32" s="6">
        <f ca="1">IFERROR(__xludf.DUMMYFUNCTION("""COMPUTED_VALUE"""),79)</f>
        <v>79</v>
      </c>
      <c r="J32" s="6"/>
      <c r="K32" s="6"/>
      <c r="L32" s="6"/>
      <c r="M32" s="6">
        <f ca="1">IFERROR(__xludf.DUMMYFUNCTION("""COMPUTED_VALUE"""),268)</f>
        <v>268</v>
      </c>
      <c r="N32" s="6">
        <f ca="1">IFERROR(__xludf.DUMMYFUNCTION("""COMPUTED_VALUE"""),268)</f>
        <v>268</v>
      </c>
    </row>
    <row r="33" spans="1:14" ht="12.75">
      <c r="A33" s="6" t="str">
        <f ca="1">IFERROR(__xludf.DUMMYFUNCTION("""COMPUTED_VALUE"""),"Tanel Oja")</f>
        <v>Tanel Oja</v>
      </c>
      <c r="B33" s="6" t="str">
        <f ca="1">IFERROR(__xludf.DUMMYFUNCTION("""COMPUTED_VALUE"""),"Alutaguse")</f>
        <v>Alutaguse</v>
      </c>
      <c r="C33" s="6" t="str">
        <f ca="1">IFERROR(__xludf.DUMMYFUNCTION("""COMPUTED_VALUE"""),"M")</f>
        <v>M</v>
      </c>
      <c r="D33" s="6" t="str">
        <f ca="1">IFERROR(__xludf.DUMMYFUNCTION("""COMPUTED_VALUE"""),"100m 3x10 H2")</f>
        <v>100m 3x10 H2</v>
      </c>
      <c r="E33" s="6" t="str">
        <f ca="1">IFERROR(__xludf.DUMMYFUNCTION("""COMPUTED_VALUE"""),"Individuaalne")</f>
        <v>Individuaalne</v>
      </c>
      <c r="F33" s="6" t="str">
        <f ca="1">IFERROR(__xludf.DUMMYFUNCTION("""COMPUTED_VALUE"""),"09.09.23")</f>
        <v>09.09.23</v>
      </c>
      <c r="G33" s="6">
        <f ca="1">IFERROR(__xludf.DUMMYFUNCTION("""COMPUTED_VALUE"""),98)</f>
        <v>98</v>
      </c>
      <c r="H33" s="6">
        <f ca="1">IFERROR(__xludf.DUMMYFUNCTION("""COMPUTED_VALUE"""),93)</f>
        <v>93</v>
      </c>
      <c r="I33" s="6">
        <f ca="1">IFERROR(__xludf.DUMMYFUNCTION("""COMPUTED_VALUE"""),77)</f>
        <v>77</v>
      </c>
      <c r="J33" s="6"/>
      <c r="K33" s="6"/>
      <c r="L33" s="6"/>
      <c r="M33" s="6">
        <f ca="1">IFERROR(__xludf.DUMMYFUNCTION("""COMPUTED_VALUE"""),268)</f>
        <v>268</v>
      </c>
      <c r="N33" s="6"/>
    </row>
    <row r="34" spans="1:14" ht="12.75">
      <c r="A34" s="6" t="str">
        <f ca="1">IFERROR(__xludf.DUMMYFUNCTION("""COMPUTED_VALUE"""),"Henry Tammann")</f>
        <v>Henry Tammann</v>
      </c>
      <c r="B34" s="6" t="str">
        <f ca="1">IFERROR(__xludf.DUMMYFUNCTION("""COMPUTED_VALUE"""),"Alutaguse")</f>
        <v>Alutaguse</v>
      </c>
      <c r="C34" s="6" t="str">
        <f ca="1">IFERROR(__xludf.DUMMYFUNCTION("""COMPUTED_VALUE"""),"M")</f>
        <v>M</v>
      </c>
      <c r="D34" s="6" t="str">
        <f ca="1">IFERROR(__xludf.DUMMYFUNCTION("""COMPUTED_VALUE"""),"100m 3x10 H2")</f>
        <v>100m 3x10 H2</v>
      </c>
      <c r="E34" s="6" t="str">
        <f ca="1">IFERROR(__xludf.DUMMYFUNCTION("""COMPUTED_VALUE"""),"Võistkond")</f>
        <v>Võistkond</v>
      </c>
      <c r="F34" s="6" t="str">
        <f ca="1">IFERROR(__xludf.DUMMYFUNCTION("""COMPUTED_VALUE"""),"09.09.23")</f>
        <v>09.09.23</v>
      </c>
      <c r="G34" s="6">
        <f ca="1">IFERROR(__xludf.DUMMYFUNCTION("""COMPUTED_VALUE"""),94)</f>
        <v>94</v>
      </c>
      <c r="H34" s="6">
        <f ca="1">IFERROR(__xludf.DUMMYFUNCTION("""COMPUTED_VALUE"""),84)</f>
        <v>84</v>
      </c>
      <c r="I34" s="6">
        <f ca="1">IFERROR(__xludf.DUMMYFUNCTION("""COMPUTED_VALUE"""),88)</f>
        <v>88</v>
      </c>
      <c r="J34" s="6"/>
      <c r="K34" s="6"/>
      <c r="L34" s="6"/>
      <c r="M34" s="6">
        <f ca="1">IFERROR(__xludf.DUMMYFUNCTION("""COMPUTED_VALUE"""),266)</f>
        <v>266</v>
      </c>
      <c r="N34" s="6">
        <f ca="1">IFERROR(__xludf.DUMMYFUNCTION("""COMPUTED_VALUE"""),266)</f>
        <v>266</v>
      </c>
    </row>
    <row r="35" spans="1:14" ht="12.75">
      <c r="A35" s="6" t="str">
        <f ca="1">IFERROR(__xludf.DUMMYFUNCTION("""COMPUTED_VALUE"""),"Kristjan Raudnagel")</f>
        <v>Kristjan Raudnagel</v>
      </c>
      <c r="B35" s="6" t="str">
        <f ca="1">IFERROR(__xludf.DUMMYFUNCTION("""COMPUTED_VALUE"""),"Põlva")</f>
        <v>Põlva</v>
      </c>
      <c r="C35" s="6" t="str">
        <f ca="1">IFERROR(__xludf.DUMMYFUNCTION("""COMPUTED_VALUE"""),"M")</f>
        <v>M</v>
      </c>
      <c r="D35" s="6" t="str">
        <f ca="1">IFERROR(__xludf.DUMMYFUNCTION("""COMPUTED_VALUE"""),"100m 3x10 H2")</f>
        <v>100m 3x10 H2</v>
      </c>
      <c r="E35" s="6" t="str">
        <f ca="1">IFERROR(__xludf.DUMMYFUNCTION("""COMPUTED_VALUE"""),"Võistkond")</f>
        <v>Võistkond</v>
      </c>
      <c r="F35" s="6" t="str">
        <f ca="1">IFERROR(__xludf.DUMMYFUNCTION("""COMPUTED_VALUE"""),"10.09.23")</f>
        <v>10.09.23</v>
      </c>
      <c r="G35" s="6">
        <f ca="1">IFERROR(__xludf.DUMMYFUNCTION("""COMPUTED_VALUE"""),88)</f>
        <v>88</v>
      </c>
      <c r="H35" s="6">
        <f ca="1">IFERROR(__xludf.DUMMYFUNCTION("""COMPUTED_VALUE"""),91)</f>
        <v>91</v>
      </c>
      <c r="I35" s="6">
        <f ca="1">IFERROR(__xludf.DUMMYFUNCTION("""COMPUTED_VALUE"""),87)</f>
        <v>87</v>
      </c>
      <c r="J35" s="6"/>
      <c r="K35" s="6"/>
      <c r="L35" s="6"/>
      <c r="M35" s="6">
        <f ca="1">IFERROR(__xludf.DUMMYFUNCTION("""COMPUTED_VALUE"""),266)</f>
        <v>266</v>
      </c>
      <c r="N35" s="6">
        <f ca="1">IFERROR(__xludf.DUMMYFUNCTION("""COMPUTED_VALUE"""),266)</f>
        <v>266</v>
      </c>
    </row>
    <row r="36" spans="1:14" ht="12.75">
      <c r="A36" s="6" t="str">
        <f ca="1">IFERROR(__xludf.DUMMYFUNCTION("""COMPUTED_VALUE"""),"Erik Aadusoo")</f>
        <v>Erik Aadusoo</v>
      </c>
      <c r="B36" s="6" t="str">
        <f ca="1">IFERROR(__xludf.DUMMYFUNCTION("""COMPUTED_VALUE"""),"Tartu")</f>
        <v>Tartu</v>
      </c>
      <c r="C36" s="6" t="str">
        <f ca="1">IFERROR(__xludf.DUMMYFUNCTION("""COMPUTED_VALUE"""),"M")</f>
        <v>M</v>
      </c>
      <c r="D36" s="6" t="str">
        <f ca="1">IFERROR(__xludf.DUMMYFUNCTION("""COMPUTED_VALUE"""),"100m 3x10 H2")</f>
        <v>100m 3x10 H2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IFERROR(__xludf.DUMMYFUNCTION("""COMPUTED_VALUE"""),91)</f>
        <v>91</v>
      </c>
      <c r="H36" s="6">
        <f ca="1">IFERROR(__xludf.DUMMYFUNCTION("""COMPUTED_VALUE"""),92)</f>
        <v>92</v>
      </c>
      <c r="I36" s="6">
        <f ca="1">IFERROR(__xludf.DUMMYFUNCTION("""COMPUTED_VALUE"""),82)</f>
        <v>82</v>
      </c>
      <c r="J36" s="6"/>
      <c r="K36" s="6"/>
      <c r="L36" s="6"/>
      <c r="M36" s="6">
        <f ca="1">IFERROR(__xludf.DUMMYFUNCTION("""COMPUTED_VALUE"""),265)</f>
        <v>265</v>
      </c>
      <c r="N36" s="6">
        <f ca="1">IFERROR(__xludf.DUMMYFUNCTION("""COMPUTED_VALUE"""),265)</f>
        <v>265</v>
      </c>
    </row>
    <row r="37" spans="1:14" ht="12.75">
      <c r="A37" s="6" t="str">
        <f ca="1">IFERROR(__xludf.DUMMYFUNCTION("""COMPUTED_VALUE"""),"Rivo Poltimäe")</f>
        <v>Rivo Poltimäe</v>
      </c>
      <c r="B37" s="6" t="str">
        <f ca="1">IFERROR(__xludf.DUMMYFUNCTION("""COMPUTED_VALUE"""),"Võrumaa")</f>
        <v>Võrumaa</v>
      </c>
      <c r="C37" s="6" t="str">
        <f ca="1">IFERROR(__xludf.DUMMYFUNCTION("""COMPUTED_VALUE"""),"M")</f>
        <v>M</v>
      </c>
      <c r="D37" s="6" t="str">
        <f ca="1">IFERROR(__xludf.DUMMYFUNCTION("""COMPUTED_VALUE"""),"100m 3x10 H2")</f>
        <v>100m 3x10 H2</v>
      </c>
      <c r="E37" s="6" t="str">
        <f ca="1">IFERROR(__xludf.DUMMYFUNCTION("""COMPUTED_VALUE"""),"Individuaalne")</f>
        <v>Individuaalne</v>
      </c>
      <c r="F37" s="6" t="str">
        <f ca="1">IFERROR(__xludf.DUMMYFUNCTION("""COMPUTED_VALUE"""),"10.09.23")</f>
        <v>10.09.23</v>
      </c>
      <c r="G37" s="6">
        <f ca="1">IFERROR(__xludf.DUMMYFUNCTION("""COMPUTED_VALUE"""),90)</f>
        <v>90</v>
      </c>
      <c r="H37" s="6">
        <f ca="1">IFERROR(__xludf.DUMMYFUNCTION("""COMPUTED_VALUE"""),90)</f>
        <v>90</v>
      </c>
      <c r="I37" s="6">
        <f ca="1">IFERROR(__xludf.DUMMYFUNCTION("""COMPUTED_VALUE"""),83)</f>
        <v>83</v>
      </c>
      <c r="J37" s="6"/>
      <c r="K37" s="6"/>
      <c r="L37" s="6"/>
      <c r="M37" s="6">
        <f ca="1">IFERROR(__xludf.DUMMYFUNCTION("""COMPUTED_VALUE"""),263)</f>
        <v>263</v>
      </c>
      <c r="N37" s="6"/>
    </row>
    <row r="38" spans="1:14" ht="12.75">
      <c r="A38" s="6" t="str">
        <f ca="1">IFERROR(__xludf.DUMMYFUNCTION("""COMPUTED_VALUE"""),"Liis Kruuse")</f>
        <v>Liis Kruuse</v>
      </c>
      <c r="B38" s="6" t="str">
        <f ca="1">IFERROR(__xludf.DUMMYFUNCTION("""COMPUTED_VALUE"""),"Tartu")</f>
        <v>Tartu</v>
      </c>
      <c r="C38" s="6" t="str">
        <f ca="1">IFERROR(__xludf.DUMMYFUNCTION("""COMPUTED_VALUE"""),"N")</f>
        <v>N</v>
      </c>
      <c r="D38" s="6" t="str">
        <f ca="1">IFERROR(__xludf.DUMMYFUNCTION("""COMPUTED_VALUE"""),"100m 3x10 H2")</f>
        <v>100m 3x10 H2</v>
      </c>
      <c r="E38" s="6" t="str">
        <f ca="1">IFERROR(__xludf.DUMMYFUNCTION("""COMPUTED_VALUE"""),"Võistkond")</f>
        <v>Võistkond</v>
      </c>
      <c r="F38" s="6" t="str">
        <f ca="1">IFERROR(__xludf.DUMMYFUNCTION("""COMPUTED_VALUE"""),"10.09.23")</f>
        <v>10.09.23</v>
      </c>
      <c r="G38" s="6">
        <f ca="1">IFERROR(__xludf.DUMMYFUNCTION("""COMPUTED_VALUE"""),95)</f>
        <v>95</v>
      </c>
      <c r="H38" s="6">
        <f ca="1">IFERROR(__xludf.DUMMYFUNCTION("""COMPUTED_VALUE"""),93)</f>
        <v>93</v>
      </c>
      <c r="I38" s="6">
        <f ca="1">IFERROR(__xludf.DUMMYFUNCTION("""COMPUTED_VALUE"""),75)</f>
        <v>75</v>
      </c>
      <c r="J38" s="6"/>
      <c r="K38" s="6"/>
      <c r="L38" s="6"/>
      <c r="M38" s="6">
        <f ca="1">IFERROR(__xludf.DUMMYFUNCTION("""COMPUTED_VALUE"""),263)</f>
        <v>263</v>
      </c>
      <c r="N38" s="6">
        <f ca="1">IFERROR(__xludf.DUMMYFUNCTION("""COMPUTED_VALUE"""),263)</f>
        <v>263</v>
      </c>
    </row>
    <row r="39" spans="1:14" ht="12.75">
      <c r="A39" s="6" t="str">
        <f ca="1">IFERROR(__xludf.DUMMYFUNCTION("""COMPUTED_VALUE"""),"Susanna Sule")</f>
        <v>Susanna Sule</v>
      </c>
      <c r="B39" s="6" t="str">
        <f ca="1">IFERROR(__xludf.DUMMYFUNCTION("""COMPUTED_VALUE"""),"Rapla")</f>
        <v>Rapla</v>
      </c>
      <c r="C39" s="6" t="str">
        <f ca="1">IFERROR(__xludf.DUMMYFUNCTION("""COMPUTED_VALUE"""),"N")</f>
        <v>N</v>
      </c>
      <c r="D39" s="6" t="str">
        <f ca="1">IFERROR(__xludf.DUMMYFUNCTION("""COMPUTED_VALUE"""),"100m 3x10 H2")</f>
        <v>100m 3x10 H2</v>
      </c>
      <c r="E39" s="6" t="str">
        <f ca="1">IFERROR(__xludf.DUMMYFUNCTION("""COMPUTED_VALUE"""),"Võistkond")</f>
        <v>Võistkond</v>
      </c>
      <c r="F39" s="6" t="str">
        <f ca="1">IFERROR(__xludf.DUMMYFUNCTION("""COMPUTED_VALUE"""),"10.09.23")</f>
        <v>10.09.23</v>
      </c>
      <c r="G39" s="6">
        <f ca="1">IFERROR(__xludf.DUMMYFUNCTION("""COMPUTED_VALUE"""),87)</f>
        <v>87</v>
      </c>
      <c r="H39" s="6">
        <f ca="1">IFERROR(__xludf.DUMMYFUNCTION("""COMPUTED_VALUE"""),88)</f>
        <v>88</v>
      </c>
      <c r="I39" s="6">
        <f ca="1">IFERROR(__xludf.DUMMYFUNCTION("""COMPUTED_VALUE"""),87)</f>
        <v>87</v>
      </c>
      <c r="J39" s="6"/>
      <c r="K39" s="6"/>
      <c r="L39" s="6"/>
      <c r="M39" s="6">
        <f ca="1">IFERROR(__xludf.DUMMYFUNCTION("""COMPUTED_VALUE"""),262)</f>
        <v>262</v>
      </c>
      <c r="N39" s="6">
        <f ca="1">IFERROR(__xludf.DUMMYFUNCTION("""COMPUTED_VALUE"""),262)</f>
        <v>262</v>
      </c>
    </row>
    <row r="40" spans="1:14" ht="12.75">
      <c r="A40" s="6" t="str">
        <f ca="1">IFERROR(__xludf.DUMMYFUNCTION("""COMPUTED_VALUE"""),"Neeme Virveste")</f>
        <v>Neeme Virveste</v>
      </c>
      <c r="B40" s="6" t="str">
        <f ca="1">IFERROR(__xludf.DUMMYFUNCTION("""COMPUTED_VALUE"""),"Saaremaa")</f>
        <v>Saaremaa</v>
      </c>
      <c r="C40" s="6" t="str">
        <f ca="1">IFERROR(__xludf.DUMMYFUNCTION("""COMPUTED_VALUE"""),"M")</f>
        <v>M</v>
      </c>
      <c r="D40" s="6" t="str">
        <f ca="1">IFERROR(__xludf.DUMMYFUNCTION("""COMPUTED_VALUE"""),"100m 3x10 H2")</f>
        <v>100m 3x10 H2</v>
      </c>
      <c r="E40" s="6" t="str">
        <f ca="1">IFERROR(__xludf.DUMMYFUNCTION("""COMPUTED_VALUE"""),"Võistkond")</f>
        <v>Võistkond</v>
      </c>
      <c r="F40" s="6" t="str">
        <f ca="1">IFERROR(__xludf.DUMMYFUNCTION("""COMPUTED_VALUE"""),"09.09.23")</f>
        <v>09.09.23</v>
      </c>
      <c r="G40" s="6">
        <f ca="1">IFERROR(__xludf.DUMMYFUNCTION("""COMPUTED_VALUE"""),89)</f>
        <v>89</v>
      </c>
      <c r="H40" s="6">
        <f ca="1">IFERROR(__xludf.DUMMYFUNCTION("""COMPUTED_VALUE"""),87)</f>
        <v>87</v>
      </c>
      <c r="I40" s="6">
        <f ca="1">IFERROR(__xludf.DUMMYFUNCTION("""COMPUTED_VALUE"""),86)</f>
        <v>86</v>
      </c>
      <c r="J40" s="6"/>
      <c r="K40" s="6"/>
      <c r="L40" s="6"/>
      <c r="M40" s="6">
        <f ca="1">IFERROR(__xludf.DUMMYFUNCTION("""COMPUTED_VALUE"""),262)</f>
        <v>262</v>
      </c>
      <c r="N40" s="6">
        <f ca="1">IFERROR(__xludf.DUMMYFUNCTION("""COMPUTED_VALUE"""),262)</f>
        <v>262</v>
      </c>
    </row>
    <row r="41" spans="1:14" ht="12.75">
      <c r="A41" s="6" t="str">
        <f ca="1">IFERROR(__xludf.DUMMYFUNCTION("""COMPUTED_VALUE"""),"Ragnar Joosep")</f>
        <v>Ragnar Joosep</v>
      </c>
      <c r="B41" s="6" t="str">
        <f ca="1">IFERROR(__xludf.DUMMYFUNCTION("""COMPUTED_VALUE"""),"Põlva")</f>
        <v>Põlva</v>
      </c>
      <c r="C41" s="6" t="str">
        <f ca="1">IFERROR(__xludf.DUMMYFUNCTION("""COMPUTED_VALUE"""),"M")</f>
        <v>M</v>
      </c>
      <c r="D41" s="6" t="str">
        <f ca="1">IFERROR(__xludf.DUMMYFUNCTION("""COMPUTED_VALUE"""),"100m 3x10 H2")</f>
        <v>100m 3x10 H2</v>
      </c>
      <c r="E41" s="6" t="str">
        <f ca="1">IFERROR(__xludf.DUMMYFUNCTION("""COMPUTED_VALUE"""),"Võistkond")</f>
        <v>Võistkond</v>
      </c>
      <c r="F41" s="6" t="str">
        <f ca="1">IFERROR(__xludf.DUMMYFUNCTION("""COMPUTED_VALUE"""),"10.09.23")</f>
        <v>10.09.23</v>
      </c>
      <c r="G41" s="6">
        <f ca="1">IFERROR(__xludf.DUMMYFUNCTION("""COMPUTED_VALUE"""),94)</f>
        <v>94</v>
      </c>
      <c r="H41" s="6">
        <f ca="1">IFERROR(__xludf.DUMMYFUNCTION("""COMPUTED_VALUE"""),92)</f>
        <v>92</v>
      </c>
      <c r="I41" s="6">
        <f ca="1">IFERROR(__xludf.DUMMYFUNCTION("""COMPUTED_VALUE"""),74)</f>
        <v>74</v>
      </c>
      <c r="J41" s="6"/>
      <c r="K41" s="6"/>
      <c r="L41" s="6"/>
      <c r="M41" s="6">
        <f ca="1">IFERROR(__xludf.DUMMYFUNCTION("""COMPUTED_VALUE"""),260)</f>
        <v>260</v>
      </c>
      <c r="N41" s="6">
        <f ca="1">IFERROR(__xludf.DUMMYFUNCTION("""COMPUTED_VALUE"""),260)</f>
        <v>260</v>
      </c>
    </row>
    <row r="42" spans="1:14" ht="12.75">
      <c r="A42" s="6" t="str">
        <f ca="1">IFERROR(__xludf.DUMMYFUNCTION("""COMPUTED_VALUE"""),"Aado Toomsalu")</f>
        <v>Aado Toomsalu</v>
      </c>
      <c r="B42" s="6" t="str">
        <f ca="1">IFERROR(__xludf.DUMMYFUNCTION("""COMPUTED_VALUE"""),"Saaremaa")</f>
        <v>Saaremaa</v>
      </c>
      <c r="C42" s="6" t="str">
        <f ca="1">IFERROR(__xludf.DUMMYFUNCTION("""COMPUTED_VALUE"""),"M")</f>
        <v>M</v>
      </c>
      <c r="D42" s="6" t="str">
        <f ca="1">IFERROR(__xludf.DUMMYFUNCTION("""COMPUTED_VALUE"""),"100m 3x10 H2")</f>
        <v>100m 3x10 H2</v>
      </c>
      <c r="E42" s="6" t="str">
        <f ca="1">IFERROR(__xludf.DUMMYFUNCTION("""COMPUTED_VALUE"""),"Võistkond")</f>
        <v>Võistkond</v>
      </c>
      <c r="F42" s="6" t="str">
        <f ca="1">IFERROR(__xludf.DUMMYFUNCTION("""COMPUTED_VALUE"""),"09.09.23")</f>
        <v>09.09.23</v>
      </c>
      <c r="G42" s="6">
        <f ca="1">IFERROR(__xludf.DUMMYFUNCTION("""COMPUTED_VALUE"""),90)</f>
        <v>90</v>
      </c>
      <c r="H42" s="6">
        <f ca="1">IFERROR(__xludf.DUMMYFUNCTION("""COMPUTED_VALUE"""),90)</f>
        <v>90</v>
      </c>
      <c r="I42" s="6">
        <f ca="1">IFERROR(__xludf.DUMMYFUNCTION("""COMPUTED_VALUE"""),79)</f>
        <v>79</v>
      </c>
      <c r="J42" s="6"/>
      <c r="K42" s="6"/>
      <c r="L42" s="6"/>
      <c r="M42" s="6">
        <f ca="1">IFERROR(__xludf.DUMMYFUNCTION("""COMPUTED_VALUE"""),259)</f>
        <v>259</v>
      </c>
      <c r="N42" s="6">
        <f ca="1">IFERROR(__xludf.DUMMYFUNCTION("""COMPUTED_VALUE"""),259)</f>
        <v>259</v>
      </c>
    </row>
    <row r="43" spans="1:14" ht="12.75">
      <c r="A43" s="6" t="str">
        <f ca="1">IFERROR(__xludf.DUMMYFUNCTION("""COMPUTED_VALUE"""),"Ülar Laaneoja")</f>
        <v>Ülar Laaneoja</v>
      </c>
      <c r="B43" s="6" t="str">
        <f ca="1">IFERROR(__xludf.DUMMYFUNCTION("""COMPUTED_VALUE"""),"Tartu")</f>
        <v>Tartu</v>
      </c>
      <c r="C43" s="6" t="str">
        <f ca="1">IFERROR(__xludf.DUMMYFUNCTION("""COMPUTED_VALUE"""),"M")</f>
        <v>M</v>
      </c>
      <c r="D43" s="6" t="str">
        <f ca="1">IFERROR(__xludf.DUMMYFUNCTION("""COMPUTED_VALUE"""),"100m 3x10 H2")</f>
        <v>100m 3x10 H2</v>
      </c>
      <c r="E43" s="6" t="str">
        <f ca="1">IFERROR(__xludf.DUMMYFUNCTION("""COMPUTED_VALUE"""),"Võistkond")</f>
        <v>Võistkond</v>
      </c>
      <c r="F43" s="6" t="str">
        <f ca="1">IFERROR(__xludf.DUMMYFUNCTION("""COMPUTED_VALUE"""),"10.09.23")</f>
        <v>10.09.23</v>
      </c>
      <c r="G43" s="6">
        <f ca="1">IFERROR(__xludf.DUMMYFUNCTION("""COMPUTED_VALUE"""),91)</f>
        <v>91</v>
      </c>
      <c r="H43" s="6">
        <f ca="1">IFERROR(__xludf.DUMMYFUNCTION("""COMPUTED_VALUE"""),89)</f>
        <v>89</v>
      </c>
      <c r="I43" s="6">
        <f ca="1">IFERROR(__xludf.DUMMYFUNCTION("""COMPUTED_VALUE"""),79)</f>
        <v>79</v>
      </c>
      <c r="J43" s="6"/>
      <c r="K43" s="6"/>
      <c r="L43" s="6"/>
      <c r="M43" s="6">
        <f ca="1">IFERROR(__xludf.DUMMYFUNCTION("""COMPUTED_VALUE"""),259)</f>
        <v>259</v>
      </c>
      <c r="N43" s="6">
        <f ca="1">IFERROR(__xludf.DUMMYFUNCTION("""COMPUTED_VALUE"""),259)</f>
        <v>259</v>
      </c>
    </row>
    <row r="44" spans="1:14" ht="12.75">
      <c r="A44" s="6" t="str">
        <f ca="1">IFERROR(__xludf.DUMMYFUNCTION("""COMPUTED_VALUE"""),"Eha Valdna")</f>
        <v>Eha Valdna</v>
      </c>
      <c r="B44" s="6" t="str">
        <f ca="1">IFERROR(__xludf.DUMMYFUNCTION("""COMPUTED_VALUE"""),"Viru")</f>
        <v>Viru</v>
      </c>
      <c r="C44" s="6" t="str">
        <f ca="1">IFERROR(__xludf.DUMMYFUNCTION("""COMPUTED_VALUE"""),"N")</f>
        <v>N</v>
      </c>
      <c r="D44" s="6" t="str">
        <f ca="1">IFERROR(__xludf.DUMMYFUNCTION("""COMPUTED_VALUE"""),"100m 3x10 H2")</f>
        <v>100m 3x10 H2</v>
      </c>
      <c r="E44" s="6" t="str">
        <f ca="1">IFERROR(__xludf.DUMMYFUNCTION("""COMPUTED_VALUE"""),"Võistkond")</f>
        <v>Võistkond</v>
      </c>
      <c r="F44" s="6" t="str">
        <f ca="1">IFERROR(__xludf.DUMMYFUNCTION("""COMPUTED_VALUE"""),"09.09.23")</f>
        <v>09.09.23</v>
      </c>
      <c r="G44" s="6">
        <f ca="1">IFERROR(__xludf.DUMMYFUNCTION("""COMPUTED_VALUE"""),91)</f>
        <v>91</v>
      </c>
      <c r="H44" s="6">
        <f ca="1">IFERROR(__xludf.DUMMYFUNCTION("""COMPUTED_VALUE"""),77)</f>
        <v>77</v>
      </c>
      <c r="I44" s="6">
        <f ca="1">IFERROR(__xludf.DUMMYFUNCTION("""COMPUTED_VALUE"""),90)</f>
        <v>90</v>
      </c>
      <c r="J44" s="6"/>
      <c r="K44" s="6"/>
      <c r="L44" s="6"/>
      <c r="M44" s="6">
        <f ca="1">IFERROR(__xludf.DUMMYFUNCTION("""COMPUTED_VALUE"""),258)</f>
        <v>258</v>
      </c>
      <c r="N44" s="6">
        <f ca="1">IFERROR(__xludf.DUMMYFUNCTION("""COMPUTED_VALUE"""),258)</f>
        <v>258</v>
      </c>
    </row>
    <row r="45" spans="1:14" ht="12.75">
      <c r="A45" s="6" t="str">
        <f ca="1">IFERROR(__xludf.DUMMYFUNCTION("""COMPUTED_VALUE"""),"Erik Miido")</f>
        <v>Erik Miido</v>
      </c>
      <c r="B45" s="6" t="str">
        <f ca="1">IFERROR(__xludf.DUMMYFUNCTION("""COMPUTED_VALUE"""),"KL peastaap")</f>
        <v>KL peastaap</v>
      </c>
      <c r="C45" s="6" t="str">
        <f ca="1">IFERROR(__xludf.DUMMYFUNCTION("""COMPUTED_VALUE"""),"M")</f>
        <v>M</v>
      </c>
      <c r="D45" s="6" t="str">
        <f ca="1">IFERROR(__xludf.DUMMYFUNCTION("""COMPUTED_VALUE"""),"100m 3x10 H2")</f>
        <v>100m 3x10 H2</v>
      </c>
      <c r="E45" s="6" t="str">
        <f ca="1">IFERROR(__xludf.DUMMYFUNCTION("""COMPUTED_VALUE"""),"Võistkond")</f>
        <v>Võistkond</v>
      </c>
      <c r="F45" s="6" t="str">
        <f ca="1">IFERROR(__xludf.DUMMYFUNCTION("""COMPUTED_VALUE"""),"09.09.23")</f>
        <v>09.09.23</v>
      </c>
      <c r="G45" s="6">
        <f ca="1">IFERROR(__xludf.DUMMYFUNCTION("""COMPUTED_VALUE"""),92)</f>
        <v>92</v>
      </c>
      <c r="H45" s="6">
        <f ca="1">IFERROR(__xludf.DUMMYFUNCTION("""COMPUTED_VALUE"""),87)</f>
        <v>87</v>
      </c>
      <c r="I45" s="6">
        <f ca="1">IFERROR(__xludf.DUMMYFUNCTION("""COMPUTED_VALUE"""),79)</f>
        <v>79</v>
      </c>
      <c r="J45" s="6"/>
      <c r="K45" s="6"/>
      <c r="L45" s="6"/>
      <c r="M45" s="6">
        <f ca="1">IFERROR(__xludf.DUMMYFUNCTION("""COMPUTED_VALUE"""),258)</f>
        <v>258</v>
      </c>
      <c r="N45" s="6">
        <f ca="1">IFERROR(__xludf.DUMMYFUNCTION("""COMPUTED_VALUE"""),258)</f>
        <v>258</v>
      </c>
    </row>
    <row r="46" spans="1:14" ht="12.75">
      <c r="A46" s="6" t="str">
        <f ca="1">IFERROR(__xludf.DUMMYFUNCTION("""COMPUTED_VALUE"""),"Sergei Rjabõškin")</f>
        <v>Sergei Rjabõškin</v>
      </c>
      <c r="B46" s="6" t="str">
        <f ca="1">IFERROR(__xludf.DUMMYFUNCTION("""COMPUTED_VALUE"""),"Tallinn")</f>
        <v>Tallinn</v>
      </c>
      <c r="C46" s="6" t="str">
        <f ca="1">IFERROR(__xludf.DUMMYFUNCTION("""COMPUTED_VALUE"""),"M")</f>
        <v>M</v>
      </c>
      <c r="D46" s="6" t="str">
        <f ca="1">IFERROR(__xludf.DUMMYFUNCTION("""COMPUTED_VALUE"""),"100m 3x10 H2")</f>
        <v>100m 3x10 H2</v>
      </c>
      <c r="E46" s="6" t="str">
        <f ca="1">IFERROR(__xludf.DUMMYFUNCTION("""COMPUTED_VALUE"""),"Individuaalne")</f>
        <v>Individuaalne</v>
      </c>
      <c r="F46" s="6" t="str">
        <f ca="1">IFERROR(__xludf.DUMMYFUNCTION("""COMPUTED_VALUE"""),"09.09.23")</f>
        <v>09.09.23</v>
      </c>
      <c r="G46" s="6">
        <f ca="1">IFERROR(__xludf.DUMMYFUNCTION("""COMPUTED_VALUE"""),87)</f>
        <v>87</v>
      </c>
      <c r="H46" s="6">
        <f ca="1">IFERROR(__xludf.DUMMYFUNCTION("""COMPUTED_VALUE"""),86)</f>
        <v>86</v>
      </c>
      <c r="I46" s="6">
        <f ca="1">IFERROR(__xludf.DUMMYFUNCTION("""COMPUTED_VALUE"""),84)</f>
        <v>84</v>
      </c>
      <c r="J46" s="6"/>
      <c r="K46" s="6"/>
      <c r="L46" s="6"/>
      <c r="M46" s="6">
        <f ca="1">IFERROR(__xludf.DUMMYFUNCTION("""COMPUTED_VALUE"""),257)</f>
        <v>257</v>
      </c>
      <c r="N46" s="6"/>
    </row>
    <row r="47" spans="1:14" ht="12.75">
      <c r="A47" s="6" t="str">
        <f ca="1">IFERROR(__xludf.DUMMYFUNCTION("""COMPUTED_VALUE"""),"Anu Asu")</f>
        <v>Anu Asu</v>
      </c>
      <c r="B47" s="6" t="str">
        <f ca="1">IFERROR(__xludf.DUMMYFUNCTION("""COMPUTED_VALUE"""),"Tallinn")</f>
        <v>Tallinn</v>
      </c>
      <c r="C47" s="6" t="str">
        <f ca="1">IFERROR(__xludf.DUMMYFUNCTION("""COMPUTED_VALUE"""),"N")</f>
        <v>N</v>
      </c>
      <c r="D47" s="6" t="str">
        <f ca="1">IFERROR(__xludf.DUMMYFUNCTION("""COMPUTED_VALUE"""),"100m 3x10 H2")</f>
        <v>100m 3x10 H2</v>
      </c>
      <c r="E47" s="6" t="str">
        <f ca="1">IFERROR(__xludf.DUMMYFUNCTION("""COMPUTED_VALUE"""),"Individuaalne")</f>
        <v>Individuaalne</v>
      </c>
      <c r="F47" s="6" t="str">
        <f ca="1">IFERROR(__xludf.DUMMYFUNCTION("""COMPUTED_VALUE"""),"09.09.23")</f>
        <v>09.09.23</v>
      </c>
      <c r="G47" s="6">
        <f ca="1">IFERROR(__xludf.DUMMYFUNCTION("""COMPUTED_VALUE"""),88)</f>
        <v>88</v>
      </c>
      <c r="H47" s="6">
        <f ca="1">IFERROR(__xludf.DUMMYFUNCTION("""COMPUTED_VALUE"""),89)</f>
        <v>89</v>
      </c>
      <c r="I47" s="6">
        <f ca="1">IFERROR(__xludf.DUMMYFUNCTION("""COMPUTED_VALUE"""),80)</f>
        <v>80</v>
      </c>
      <c r="J47" s="6"/>
      <c r="K47" s="6"/>
      <c r="L47" s="6"/>
      <c r="M47" s="6">
        <f ca="1">IFERROR(__xludf.DUMMYFUNCTION("""COMPUTED_VALUE"""),257)</f>
        <v>257</v>
      </c>
      <c r="N47" s="6"/>
    </row>
    <row r="48" spans="1:14" ht="12.75">
      <c r="A48" s="6" t="str">
        <f ca="1">IFERROR(__xludf.DUMMYFUNCTION("""COMPUTED_VALUE"""),"Indrek Reismann")</f>
        <v>Indrek Reismann</v>
      </c>
      <c r="B48" s="6" t="str">
        <f ca="1">IFERROR(__xludf.DUMMYFUNCTION("""COMPUTED_VALUE"""),"Järva")</f>
        <v>Järva</v>
      </c>
      <c r="C48" s="6" t="str">
        <f ca="1">IFERROR(__xludf.DUMMYFUNCTION("""COMPUTED_VALUE"""),"M")</f>
        <v>M</v>
      </c>
      <c r="D48" s="6" t="str">
        <f ca="1">IFERROR(__xludf.DUMMYFUNCTION("""COMPUTED_VALUE"""),"100m 3x10 H2")</f>
        <v>100m 3x10 H2</v>
      </c>
      <c r="E48" s="6" t="str">
        <f ca="1">IFERROR(__xludf.DUMMYFUNCTION("""COMPUTED_VALUE"""),"Võistkond")</f>
        <v>Võistkond</v>
      </c>
      <c r="F48" s="6" t="str">
        <f ca="1">IFERROR(__xludf.DUMMYFUNCTION("""COMPUTED_VALUE"""),"09.09.23")</f>
        <v>09.09.23</v>
      </c>
      <c r="G48" s="6">
        <f ca="1">IFERROR(__xludf.DUMMYFUNCTION("""COMPUTED_VALUE"""),92)</f>
        <v>92</v>
      </c>
      <c r="H48" s="6">
        <f ca="1">IFERROR(__xludf.DUMMYFUNCTION("""COMPUTED_VALUE"""),90)</f>
        <v>90</v>
      </c>
      <c r="I48" s="6">
        <f ca="1">IFERROR(__xludf.DUMMYFUNCTION("""COMPUTED_VALUE"""),74)</f>
        <v>74</v>
      </c>
      <c r="J48" s="6"/>
      <c r="K48" s="6"/>
      <c r="L48" s="6"/>
      <c r="M48" s="6">
        <f ca="1">IFERROR(__xludf.DUMMYFUNCTION("""COMPUTED_VALUE"""),256)</f>
        <v>256</v>
      </c>
      <c r="N48" s="6">
        <f ca="1">IFERROR(__xludf.DUMMYFUNCTION("""COMPUTED_VALUE"""),256)</f>
        <v>256</v>
      </c>
    </row>
    <row r="49" spans="1:14" ht="12.75">
      <c r="A49" s="6" t="str">
        <f ca="1">IFERROR(__xludf.DUMMYFUNCTION("""COMPUTED_VALUE"""),"Irina Fišina")</f>
        <v>Irina Fišina</v>
      </c>
      <c r="B49" s="6" t="str">
        <f ca="1">IFERROR(__xludf.DUMMYFUNCTION("""COMPUTED_VALUE"""),"Lääne")</f>
        <v>Lääne</v>
      </c>
      <c r="C49" s="6" t="str">
        <f ca="1">IFERROR(__xludf.DUMMYFUNCTION("""COMPUTED_VALUE"""),"N")</f>
        <v>N</v>
      </c>
      <c r="D49" s="6" t="str">
        <f ca="1">IFERROR(__xludf.DUMMYFUNCTION("""COMPUTED_VALUE"""),"100m 3x10 H2")</f>
        <v>100m 3x10 H2</v>
      </c>
      <c r="E49" s="6" t="str">
        <f ca="1">IFERROR(__xludf.DUMMYFUNCTION("""COMPUTED_VALUE"""),"Võistkond")</f>
        <v>Võistkond</v>
      </c>
      <c r="F49" s="6" t="str">
        <f ca="1">IFERROR(__xludf.DUMMYFUNCTION("""COMPUTED_VALUE"""),"10.09.23")</f>
        <v>10.09.23</v>
      </c>
      <c r="G49" s="6">
        <f ca="1">IFERROR(__xludf.DUMMYFUNCTION("""COMPUTED_VALUE"""),97)</f>
        <v>97</v>
      </c>
      <c r="H49" s="6">
        <f ca="1">IFERROR(__xludf.DUMMYFUNCTION("""COMPUTED_VALUE"""),88)</f>
        <v>88</v>
      </c>
      <c r="I49" s="6">
        <f ca="1">IFERROR(__xludf.DUMMYFUNCTION("""COMPUTED_VALUE"""),70)</f>
        <v>70</v>
      </c>
      <c r="J49" s="6"/>
      <c r="K49" s="6"/>
      <c r="L49" s="6"/>
      <c r="M49" s="6">
        <f ca="1">IFERROR(__xludf.DUMMYFUNCTION("""COMPUTED_VALUE"""),255)</f>
        <v>255</v>
      </c>
      <c r="N49" s="6">
        <f ca="1">IFERROR(__xludf.DUMMYFUNCTION("""COMPUTED_VALUE"""),255)</f>
        <v>255</v>
      </c>
    </row>
    <row r="50" spans="1:14" ht="12.75">
      <c r="A50" s="6" t="str">
        <f ca="1">IFERROR(__xludf.DUMMYFUNCTION("""COMPUTED_VALUE"""),"Meelis Pallo")</f>
        <v>Meelis Pallo</v>
      </c>
      <c r="B50" s="6" t="str">
        <f ca="1">IFERROR(__xludf.DUMMYFUNCTION("""COMPUTED_VALUE"""),"Harju")</f>
        <v>Harju</v>
      </c>
      <c r="C50" s="6" t="str">
        <f ca="1">IFERROR(__xludf.DUMMYFUNCTION("""COMPUTED_VALUE"""),"M")</f>
        <v>M</v>
      </c>
      <c r="D50" s="6" t="str">
        <f ca="1">IFERROR(__xludf.DUMMYFUNCTION("""COMPUTED_VALUE"""),"100m 3x10 H2")</f>
        <v>100m 3x10 H2</v>
      </c>
      <c r="E50" s="6" t="str">
        <f ca="1">IFERROR(__xludf.DUMMYFUNCTION("""COMPUTED_VALUE"""),"Võistkond")</f>
        <v>Võistkond</v>
      </c>
      <c r="F50" s="6" t="str">
        <f ca="1">IFERROR(__xludf.DUMMYFUNCTION("""COMPUTED_VALUE"""),"10.09.23")</f>
        <v>10.09.23</v>
      </c>
      <c r="G50" s="6">
        <f ca="1">IFERROR(__xludf.DUMMYFUNCTION("""COMPUTED_VALUE"""),87)</f>
        <v>87</v>
      </c>
      <c r="H50" s="6">
        <f ca="1">IFERROR(__xludf.DUMMYFUNCTION("""COMPUTED_VALUE"""),83)</f>
        <v>83</v>
      </c>
      <c r="I50" s="6">
        <f ca="1">IFERROR(__xludf.DUMMYFUNCTION("""COMPUTED_VALUE"""),84)</f>
        <v>84</v>
      </c>
      <c r="J50" s="6"/>
      <c r="K50" s="6"/>
      <c r="L50" s="6"/>
      <c r="M50" s="6">
        <f ca="1">IFERROR(__xludf.DUMMYFUNCTION("""COMPUTED_VALUE"""),254)</f>
        <v>254</v>
      </c>
      <c r="N50" s="6">
        <f ca="1">IFERROR(__xludf.DUMMYFUNCTION("""COMPUTED_VALUE"""),254)</f>
        <v>254</v>
      </c>
    </row>
    <row r="51" spans="1:14" ht="12.75">
      <c r="A51" s="6" t="str">
        <f ca="1">IFERROR(__xludf.DUMMYFUNCTION("""COMPUTED_VALUE"""),"Anne Kull")</f>
        <v>Anne Kull</v>
      </c>
      <c r="B51" s="6" t="str">
        <f ca="1">IFERROR(__xludf.DUMMYFUNCTION("""COMPUTED_VALUE"""),"Lääne")</f>
        <v>Lääne</v>
      </c>
      <c r="C51" s="6" t="str">
        <f ca="1">IFERROR(__xludf.DUMMYFUNCTION("""COMPUTED_VALUE"""),"N")</f>
        <v>N</v>
      </c>
      <c r="D51" s="6" t="str">
        <f ca="1">IFERROR(__xludf.DUMMYFUNCTION("""COMPUTED_VALUE"""),"100m 3x10 H2")</f>
        <v>100m 3x10 H2</v>
      </c>
      <c r="E51" s="6" t="str">
        <f ca="1">IFERROR(__xludf.DUMMYFUNCTION("""COMPUTED_VALUE"""),"Individuaalne")</f>
        <v>Individuaalne</v>
      </c>
      <c r="F51" s="6" t="str">
        <f ca="1">IFERROR(__xludf.DUMMYFUNCTION("""COMPUTED_VALUE"""),"10.09.23")</f>
        <v>10.09.23</v>
      </c>
      <c r="G51" s="6">
        <f ca="1">IFERROR(__xludf.DUMMYFUNCTION("""COMPUTED_VALUE"""),97)</f>
        <v>97</v>
      </c>
      <c r="H51" s="6">
        <f ca="1">IFERROR(__xludf.DUMMYFUNCTION("""COMPUTED_VALUE"""),89)</f>
        <v>89</v>
      </c>
      <c r="I51" s="6">
        <f ca="1">IFERROR(__xludf.DUMMYFUNCTION("""COMPUTED_VALUE"""),67)</f>
        <v>67</v>
      </c>
      <c r="J51" s="6"/>
      <c r="K51" s="6"/>
      <c r="L51" s="6"/>
      <c r="M51" s="6">
        <f ca="1">IFERROR(__xludf.DUMMYFUNCTION("""COMPUTED_VALUE"""),253)</f>
        <v>253</v>
      </c>
      <c r="N51" s="6"/>
    </row>
    <row r="52" spans="1:14" ht="12.75">
      <c r="A52" s="6" t="str">
        <f ca="1">IFERROR(__xludf.DUMMYFUNCTION("""COMPUTED_VALUE"""),"Kristiina Kivari")</f>
        <v>Kristiina Kivari</v>
      </c>
      <c r="B52" s="6" t="str">
        <f ca="1">IFERROR(__xludf.DUMMYFUNCTION("""COMPUTED_VALUE"""),"Tallinn")</f>
        <v>Tallinn</v>
      </c>
      <c r="C52" s="6" t="str">
        <f ca="1">IFERROR(__xludf.DUMMYFUNCTION("""COMPUTED_VALUE"""),"N")</f>
        <v>N</v>
      </c>
      <c r="D52" s="6" t="str">
        <f ca="1">IFERROR(__xludf.DUMMYFUNCTION("""COMPUTED_VALUE"""),"100m 3x10 H2")</f>
        <v>100m 3x10 H2</v>
      </c>
      <c r="E52" s="6" t="str">
        <f ca="1">IFERROR(__xludf.DUMMYFUNCTION("""COMPUTED_VALUE"""),"Individuaalne")</f>
        <v>Individuaalne</v>
      </c>
      <c r="F52" s="6" t="str">
        <f ca="1">IFERROR(__xludf.DUMMYFUNCTION("""COMPUTED_VALUE"""),"09.09.23")</f>
        <v>09.09.23</v>
      </c>
      <c r="G52" s="6">
        <f ca="1">IFERROR(__xludf.DUMMYFUNCTION("""COMPUTED_VALUE"""),86)</f>
        <v>86</v>
      </c>
      <c r="H52" s="6">
        <f ca="1">IFERROR(__xludf.DUMMYFUNCTION("""COMPUTED_VALUE"""),85)</f>
        <v>85</v>
      </c>
      <c r="I52" s="6">
        <f ca="1">IFERROR(__xludf.DUMMYFUNCTION("""COMPUTED_VALUE"""),81)</f>
        <v>81</v>
      </c>
      <c r="J52" s="6"/>
      <c r="K52" s="6"/>
      <c r="L52" s="6"/>
      <c r="M52" s="6">
        <f ca="1">IFERROR(__xludf.DUMMYFUNCTION("""COMPUTED_VALUE"""),252)</f>
        <v>252</v>
      </c>
      <c r="N52" s="6"/>
    </row>
    <row r="53" spans="1:14" ht="12.75">
      <c r="A53" s="6" t="str">
        <f ca="1">IFERROR(__xludf.DUMMYFUNCTION("""COMPUTED_VALUE"""),"Rainis Kukispuu")</f>
        <v>Rainis Kukispuu</v>
      </c>
      <c r="B53" s="6" t="str">
        <f ca="1">IFERROR(__xludf.DUMMYFUNCTION("""COMPUTED_VALUE"""),"Lääne")</f>
        <v>Lääne</v>
      </c>
      <c r="C53" s="6" t="str">
        <f ca="1">IFERROR(__xludf.DUMMYFUNCTION("""COMPUTED_VALUE"""),"M")</f>
        <v>M</v>
      </c>
      <c r="D53" s="6" t="str">
        <f ca="1">IFERROR(__xludf.DUMMYFUNCTION("""COMPUTED_VALUE"""),"100m 3x10 H2")</f>
        <v>100m 3x10 H2</v>
      </c>
      <c r="E53" s="6" t="str">
        <f ca="1">IFERROR(__xludf.DUMMYFUNCTION("""COMPUTED_VALUE"""),"Võistkond")</f>
        <v>Võistkond</v>
      </c>
      <c r="F53" s="6" t="str">
        <f ca="1">IFERROR(__xludf.DUMMYFUNCTION("""COMPUTED_VALUE"""),"10.09.23")</f>
        <v>10.09.23</v>
      </c>
      <c r="G53" s="6">
        <f ca="1">IFERROR(__xludf.DUMMYFUNCTION("""COMPUTED_VALUE"""),92)</f>
        <v>92</v>
      </c>
      <c r="H53" s="6">
        <f ca="1">IFERROR(__xludf.DUMMYFUNCTION("""COMPUTED_VALUE"""),88)</f>
        <v>88</v>
      </c>
      <c r="I53" s="6">
        <f ca="1">IFERROR(__xludf.DUMMYFUNCTION("""COMPUTED_VALUE"""),72)</f>
        <v>72</v>
      </c>
      <c r="J53" s="6"/>
      <c r="K53" s="6"/>
      <c r="L53" s="6"/>
      <c r="M53" s="6">
        <f ca="1">IFERROR(__xludf.DUMMYFUNCTION("""COMPUTED_VALUE"""),252)</f>
        <v>252</v>
      </c>
      <c r="N53" s="6">
        <f ca="1">IFERROR(__xludf.DUMMYFUNCTION("""COMPUTED_VALUE"""),252)</f>
        <v>252</v>
      </c>
    </row>
    <row r="54" spans="1:14" ht="12.75">
      <c r="A54" s="6" t="str">
        <f ca="1">IFERROR(__xludf.DUMMYFUNCTION("""COMPUTED_VALUE"""),"Andres Ansip")</f>
        <v>Andres Ansip</v>
      </c>
      <c r="B54" s="6" t="str">
        <f ca="1">IFERROR(__xludf.DUMMYFUNCTION("""COMPUTED_VALUE"""),"Rapla")</f>
        <v>Rapla</v>
      </c>
      <c r="C54" s="6" t="str">
        <f ca="1">IFERROR(__xludf.DUMMYFUNCTION("""COMPUTED_VALUE"""),"M")</f>
        <v>M</v>
      </c>
      <c r="D54" s="6" t="str">
        <f ca="1">IFERROR(__xludf.DUMMYFUNCTION("""COMPUTED_VALUE"""),"100m 3x10 H2")</f>
        <v>100m 3x10 H2</v>
      </c>
      <c r="E54" s="6" t="str">
        <f ca="1">IFERROR(__xludf.DUMMYFUNCTION("""COMPUTED_VALUE"""),"Võistkond")</f>
        <v>Võistkond</v>
      </c>
      <c r="F54" s="6" t="str">
        <f ca="1">IFERROR(__xludf.DUMMYFUNCTION("""COMPUTED_VALUE"""),"10.09.23")</f>
        <v>10.09.23</v>
      </c>
      <c r="G54" s="6">
        <f ca="1">IFERROR(__xludf.DUMMYFUNCTION("""COMPUTED_VALUE"""),84)</f>
        <v>84</v>
      </c>
      <c r="H54" s="6">
        <f ca="1">IFERROR(__xludf.DUMMYFUNCTION("""COMPUTED_VALUE"""),83)</f>
        <v>83</v>
      </c>
      <c r="I54" s="6">
        <f ca="1">IFERROR(__xludf.DUMMYFUNCTION("""COMPUTED_VALUE"""),82)</f>
        <v>82</v>
      </c>
      <c r="J54" s="6"/>
      <c r="K54" s="6"/>
      <c r="L54" s="6"/>
      <c r="M54" s="6">
        <f ca="1">IFERROR(__xludf.DUMMYFUNCTION("""COMPUTED_VALUE"""),249)</f>
        <v>249</v>
      </c>
      <c r="N54" s="6">
        <f ca="1">IFERROR(__xludf.DUMMYFUNCTION("""COMPUTED_VALUE"""),249)</f>
        <v>249</v>
      </c>
    </row>
    <row r="55" spans="1:14" ht="12.75">
      <c r="A55" s="6" t="str">
        <f ca="1">IFERROR(__xludf.DUMMYFUNCTION("""COMPUTED_VALUE"""),"Margus Kana")</f>
        <v>Margus Kana</v>
      </c>
      <c r="B55" s="6" t="str">
        <f ca="1">IFERROR(__xludf.DUMMYFUNCTION("""COMPUTED_VALUE"""),"Harju")</f>
        <v>Harju</v>
      </c>
      <c r="C55" s="6" t="str">
        <f ca="1">IFERROR(__xludf.DUMMYFUNCTION("""COMPUTED_VALUE"""),"M")</f>
        <v>M</v>
      </c>
      <c r="D55" s="6" t="str">
        <f ca="1">IFERROR(__xludf.DUMMYFUNCTION("""COMPUTED_VALUE"""),"100m 3x10 H2")</f>
        <v>100m 3x10 H2</v>
      </c>
      <c r="E55" s="6" t="str">
        <f ca="1">IFERROR(__xludf.DUMMYFUNCTION("""COMPUTED_VALUE"""),"Võistkond")</f>
        <v>Võistkond</v>
      </c>
      <c r="F55" s="6" t="str">
        <f ca="1">IFERROR(__xludf.DUMMYFUNCTION("""COMPUTED_VALUE"""),"10.09.23")</f>
        <v>10.09.23</v>
      </c>
      <c r="G55" s="6">
        <f ca="1">IFERROR(__xludf.DUMMYFUNCTION("""COMPUTED_VALUE"""),95)</f>
        <v>95</v>
      </c>
      <c r="H55" s="6">
        <f ca="1">IFERROR(__xludf.DUMMYFUNCTION("""COMPUTED_VALUE"""),84)</f>
        <v>84</v>
      </c>
      <c r="I55" s="6">
        <f ca="1">IFERROR(__xludf.DUMMYFUNCTION("""COMPUTED_VALUE"""),70)</f>
        <v>70</v>
      </c>
      <c r="J55" s="6"/>
      <c r="K55" s="6"/>
      <c r="L55" s="6"/>
      <c r="M55" s="6">
        <f ca="1">IFERROR(__xludf.DUMMYFUNCTION("""COMPUTED_VALUE"""),249)</f>
        <v>249</v>
      </c>
      <c r="N55" s="6">
        <f ca="1">IFERROR(__xludf.DUMMYFUNCTION("""COMPUTED_VALUE"""),249)</f>
        <v>249</v>
      </c>
    </row>
    <row r="56" spans="1:14" ht="12.75">
      <c r="A56" s="6" t="str">
        <f ca="1">IFERROR(__xludf.DUMMYFUNCTION("""COMPUTED_VALUE"""),"Martin Valk")</f>
        <v>Martin Valk</v>
      </c>
      <c r="B56" s="6" t="str">
        <f ca="1">IFERROR(__xludf.DUMMYFUNCTION("""COMPUTED_VALUE"""),"Lääne")</f>
        <v>Lääne</v>
      </c>
      <c r="C56" s="6" t="str">
        <f ca="1">IFERROR(__xludf.DUMMYFUNCTION("""COMPUTED_VALUE"""),"M")</f>
        <v>M</v>
      </c>
      <c r="D56" s="6" t="str">
        <f ca="1">IFERROR(__xludf.DUMMYFUNCTION("""COMPUTED_VALUE"""),"100m 3x10 H2")</f>
        <v>100m 3x10 H2</v>
      </c>
      <c r="E56" s="6" t="str">
        <f ca="1">IFERROR(__xludf.DUMMYFUNCTION("""COMPUTED_VALUE"""),"Võistkond")</f>
        <v>Võistkond</v>
      </c>
      <c r="F56" s="6" t="str">
        <f ca="1">IFERROR(__xludf.DUMMYFUNCTION("""COMPUTED_VALUE"""),"10.09.23")</f>
        <v>10.09.23</v>
      </c>
      <c r="G56" s="6">
        <f ca="1">IFERROR(__xludf.DUMMYFUNCTION("""COMPUTED_VALUE"""),91)</f>
        <v>91</v>
      </c>
      <c r="H56" s="6">
        <f ca="1">IFERROR(__xludf.DUMMYFUNCTION("""COMPUTED_VALUE"""),85)</f>
        <v>85</v>
      </c>
      <c r="I56" s="6">
        <f ca="1">IFERROR(__xludf.DUMMYFUNCTION("""COMPUTED_VALUE"""),72)</f>
        <v>72</v>
      </c>
      <c r="J56" s="6"/>
      <c r="K56" s="6"/>
      <c r="L56" s="6"/>
      <c r="M56" s="6">
        <f ca="1">IFERROR(__xludf.DUMMYFUNCTION("""COMPUTED_VALUE"""),248)</f>
        <v>248</v>
      </c>
      <c r="N56" s="6">
        <f ca="1">IFERROR(__xludf.DUMMYFUNCTION("""COMPUTED_VALUE"""),248)</f>
        <v>248</v>
      </c>
    </row>
    <row r="57" spans="1:14" ht="12.75">
      <c r="A57" s="6" t="str">
        <f ca="1">IFERROR(__xludf.DUMMYFUNCTION("""COMPUTED_VALUE"""),"Sören Silm")</f>
        <v>Sören Silm</v>
      </c>
      <c r="B57" s="6" t="str">
        <f ca="1">IFERROR(__xludf.DUMMYFUNCTION("""COMPUTED_VALUE"""),"Sakala")</f>
        <v>Sakala</v>
      </c>
      <c r="C57" s="6" t="str">
        <f ca="1">IFERROR(__xludf.DUMMYFUNCTION("""COMPUTED_VALUE"""),"M")</f>
        <v>M</v>
      </c>
      <c r="D57" s="6" t="str">
        <f ca="1">IFERROR(__xludf.DUMMYFUNCTION("""COMPUTED_VALUE"""),"100m 3x10 H2")</f>
        <v>100m 3x10 H2</v>
      </c>
      <c r="E57" s="6" t="str">
        <f ca="1">IFERROR(__xludf.DUMMYFUNCTION("""COMPUTED_VALUE"""),"Võistkond")</f>
        <v>Võistkond</v>
      </c>
      <c r="F57" s="6" t="str">
        <f ca="1">IFERROR(__xludf.DUMMYFUNCTION("""COMPUTED_VALUE"""),"10.09.23")</f>
        <v>10.09.23</v>
      </c>
      <c r="G57" s="6">
        <f ca="1">IFERROR(__xludf.DUMMYFUNCTION("""COMPUTED_VALUE"""),87)</f>
        <v>87</v>
      </c>
      <c r="H57" s="6">
        <f ca="1">IFERROR(__xludf.DUMMYFUNCTION("""COMPUTED_VALUE"""),88)</f>
        <v>88</v>
      </c>
      <c r="I57" s="6">
        <f ca="1">IFERROR(__xludf.DUMMYFUNCTION("""COMPUTED_VALUE"""),66)</f>
        <v>66</v>
      </c>
      <c r="J57" s="6"/>
      <c r="K57" s="6"/>
      <c r="L57" s="6"/>
      <c r="M57" s="6">
        <f ca="1">IFERROR(__xludf.DUMMYFUNCTION("""COMPUTED_VALUE"""),241)</f>
        <v>241</v>
      </c>
      <c r="N57" s="6">
        <f ca="1">IFERROR(__xludf.DUMMYFUNCTION("""COMPUTED_VALUE"""),241)</f>
        <v>241</v>
      </c>
    </row>
    <row r="58" spans="1:14" ht="12.75">
      <c r="A58" s="6" t="str">
        <f ca="1">IFERROR(__xludf.DUMMYFUNCTION("""COMPUTED_VALUE"""),"Allan Anniste")</f>
        <v>Allan Anniste</v>
      </c>
      <c r="B58" s="6" t="str">
        <f ca="1">IFERROR(__xludf.DUMMYFUNCTION("""COMPUTED_VALUE"""),"Järva")</f>
        <v>Järva</v>
      </c>
      <c r="C58" s="6" t="str">
        <f ca="1">IFERROR(__xludf.DUMMYFUNCTION("""COMPUTED_VALUE"""),"M")</f>
        <v>M</v>
      </c>
      <c r="D58" s="6" t="str">
        <f ca="1">IFERROR(__xludf.DUMMYFUNCTION("""COMPUTED_VALUE"""),"100m 3x10 H2")</f>
        <v>100m 3x10 H2</v>
      </c>
      <c r="E58" s="6" t="str">
        <f ca="1">IFERROR(__xludf.DUMMYFUNCTION("""COMPUTED_VALUE"""),"Võistkond")</f>
        <v>Võistkond</v>
      </c>
      <c r="F58" s="6" t="str">
        <f ca="1">IFERROR(__xludf.DUMMYFUNCTION("""COMPUTED_VALUE"""),"09.09.23")</f>
        <v>09.09.23</v>
      </c>
      <c r="G58" s="6">
        <f ca="1">IFERROR(__xludf.DUMMYFUNCTION("""COMPUTED_VALUE"""),96)</f>
        <v>96</v>
      </c>
      <c r="H58" s="6">
        <f ca="1">IFERROR(__xludf.DUMMYFUNCTION("""COMPUTED_VALUE"""),87)</f>
        <v>87</v>
      </c>
      <c r="I58" s="6">
        <f ca="1">IFERROR(__xludf.DUMMYFUNCTION("""COMPUTED_VALUE"""),57)</f>
        <v>57</v>
      </c>
      <c r="J58" s="6"/>
      <c r="K58" s="6"/>
      <c r="L58" s="6"/>
      <c r="M58" s="6">
        <f ca="1">IFERROR(__xludf.DUMMYFUNCTION("""COMPUTED_VALUE"""),240)</f>
        <v>240</v>
      </c>
      <c r="N58" s="6">
        <f ca="1">IFERROR(__xludf.DUMMYFUNCTION("""COMPUTED_VALUE"""),240)</f>
        <v>240</v>
      </c>
    </row>
    <row r="59" spans="1:14" ht="12.75">
      <c r="A59" s="6" t="str">
        <f ca="1">IFERROR(__xludf.DUMMYFUNCTION("""COMPUTED_VALUE"""),"Sigrid Lutsar")</f>
        <v>Sigrid Lutsar</v>
      </c>
      <c r="B59" s="6" t="str">
        <f ca="1">IFERROR(__xludf.DUMMYFUNCTION("""COMPUTED_VALUE"""),"Põlva")</f>
        <v>Põlva</v>
      </c>
      <c r="C59" s="6" t="str">
        <f ca="1">IFERROR(__xludf.DUMMYFUNCTION("""COMPUTED_VALUE"""),"M")</f>
        <v>M</v>
      </c>
      <c r="D59" s="6" t="str">
        <f ca="1">IFERROR(__xludf.DUMMYFUNCTION("""COMPUTED_VALUE"""),"100m 3x10 H2")</f>
        <v>100m 3x10 H2</v>
      </c>
      <c r="E59" s="6" t="str">
        <f ca="1">IFERROR(__xludf.DUMMYFUNCTION("""COMPUTED_VALUE"""),"Võistkond")</f>
        <v>Võistkond</v>
      </c>
      <c r="F59" s="6" t="str">
        <f ca="1">IFERROR(__xludf.DUMMYFUNCTION("""COMPUTED_VALUE"""),"10.09.23")</f>
        <v>10.09.23</v>
      </c>
      <c r="G59" s="6">
        <f ca="1">IFERROR(__xludf.DUMMYFUNCTION("""COMPUTED_VALUE"""),85)</f>
        <v>85</v>
      </c>
      <c r="H59" s="6">
        <f ca="1">IFERROR(__xludf.DUMMYFUNCTION("""COMPUTED_VALUE"""),86)</f>
        <v>86</v>
      </c>
      <c r="I59" s="6">
        <f ca="1">IFERROR(__xludf.DUMMYFUNCTION("""COMPUTED_VALUE"""),66)</f>
        <v>66</v>
      </c>
      <c r="J59" s="6"/>
      <c r="K59" s="6"/>
      <c r="L59" s="6"/>
      <c r="M59" s="6">
        <f ca="1">IFERROR(__xludf.DUMMYFUNCTION("""COMPUTED_VALUE"""),237)</f>
        <v>237</v>
      </c>
      <c r="N59" s="6">
        <f ca="1">IFERROR(__xludf.DUMMYFUNCTION("""COMPUTED_VALUE"""),237)</f>
        <v>237</v>
      </c>
    </row>
    <row r="60" spans="1:14" ht="12.75">
      <c r="A60" s="6" t="str">
        <f ca="1">IFERROR(__xludf.DUMMYFUNCTION("""COMPUTED_VALUE"""),"Vassili Stepanov")</f>
        <v>Vassili Stepanov</v>
      </c>
      <c r="B60" s="6" t="str">
        <f ca="1">IFERROR(__xludf.DUMMYFUNCTION("""COMPUTED_VALUE"""),"Rapla")</f>
        <v>Rapla</v>
      </c>
      <c r="C60" s="6" t="str">
        <f ca="1">IFERROR(__xludf.DUMMYFUNCTION("""COMPUTED_VALUE"""),"M")</f>
        <v>M</v>
      </c>
      <c r="D60" s="6" t="str">
        <f ca="1">IFERROR(__xludf.DUMMYFUNCTION("""COMPUTED_VALUE"""),"100m 3x10 H2")</f>
        <v>100m 3x10 H2</v>
      </c>
      <c r="E60" s="6" t="str">
        <f ca="1">IFERROR(__xludf.DUMMYFUNCTION("""COMPUTED_VALUE"""),"Võistkond")</f>
        <v>Võistkond</v>
      </c>
      <c r="F60" s="6" t="str">
        <f ca="1">IFERROR(__xludf.DUMMYFUNCTION("""COMPUTED_VALUE"""),"10.09.23")</f>
        <v>10.09.23</v>
      </c>
      <c r="G60" s="6">
        <f ca="1">IFERROR(__xludf.DUMMYFUNCTION("""COMPUTED_VALUE"""),90)</f>
        <v>90</v>
      </c>
      <c r="H60" s="6">
        <f ca="1">IFERROR(__xludf.DUMMYFUNCTION("""COMPUTED_VALUE"""),81)</f>
        <v>81</v>
      </c>
      <c r="I60" s="6">
        <f ca="1">IFERROR(__xludf.DUMMYFUNCTION("""COMPUTED_VALUE"""),64)</f>
        <v>64</v>
      </c>
      <c r="J60" s="6"/>
      <c r="K60" s="6"/>
      <c r="L60" s="6"/>
      <c r="M60" s="6">
        <f ca="1">IFERROR(__xludf.DUMMYFUNCTION("""COMPUTED_VALUE"""),235)</f>
        <v>235</v>
      </c>
      <c r="N60" s="6">
        <f ca="1">IFERROR(__xludf.DUMMYFUNCTION("""COMPUTED_VALUE"""),235)</f>
        <v>235</v>
      </c>
    </row>
    <row r="61" spans="1:14" ht="12.75">
      <c r="A61" s="6" t="str">
        <f ca="1">IFERROR(__xludf.DUMMYFUNCTION("""COMPUTED_VALUE"""),"Natalja Skvortsova")</f>
        <v>Natalja Skvortsova</v>
      </c>
      <c r="B61" s="6" t="str">
        <f ca="1">IFERROR(__xludf.DUMMYFUNCTION("""COMPUTED_VALUE"""),"Alutaguse")</f>
        <v>Alutaguse</v>
      </c>
      <c r="C61" s="6" t="str">
        <f ca="1">IFERROR(__xludf.DUMMYFUNCTION("""COMPUTED_VALUE"""),"N")</f>
        <v>N</v>
      </c>
      <c r="D61" s="6" t="str">
        <f ca="1">IFERROR(__xludf.DUMMYFUNCTION("""COMPUTED_VALUE"""),"100m 3x10 H2")</f>
        <v>100m 3x10 H2</v>
      </c>
      <c r="E61" s="6" t="str">
        <f ca="1">IFERROR(__xludf.DUMMYFUNCTION("""COMPUTED_VALUE"""),"Võistkond")</f>
        <v>Võistkond</v>
      </c>
      <c r="F61" s="6" t="str">
        <f ca="1">IFERROR(__xludf.DUMMYFUNCTION("""COMPUTED_VALUE"""),"09.09.23")</f>
        <v>09.09.23</v>
      </c>
      <c r="G61" s="6">
        <f ca="1">IFERROR(__xludf.DUMMYFUNCTION("""COMPUTED_VALUE"""),94)</f>
        <v>94</v>
      </c>
      <c r="H61" s="6">
        <f ca="1">IFERROR(__xludf.DUMMYFUNCTION("""COMPUTED_VALUE"""),85)</f>
        <v>85</v>
      </c>
      <c r="I61" s="6">
        <f ca="1">IFERROR(__xludf.DUMMYFUNCTION("""COMPUTED_VALUE"""),56)</f>
        <v>56</v>
      </c>
      <c r="J61" s="6"/>
      <c r="K61" s="6"/>
      <c r="L61" s="6"/>
      <c r="M61" s="6">
        <f ca="1">IFERROR(__xludf.DUMMYFUNCTION("""COMPUTED_VALUE"""),235)</f>
        <v>235</v>
      </c>
      <c r="N61" s="6">
        <f ca="1">IFERROR(__xludf.DUMMYFUNCTION("""COMPUTED_VALUE"""),235)</f>
        <v>235</v>
      </c>
    </row>
    <row r="62" spans="1:14" ht="12.75">
      <c r="A62" s="6" t="str">
        <f ca="1">IFERROR(__xludf.DUMMYFUNCTION("""COMPUTED_VALUE"""),"Kai Willadsen")</f>
        <v>Kai Willadsen</v>
      </c>
      <c r="B62" s="6" t="str">
        <f ca="1">IFERROR(__xludf.DUMMYFUNCTION("""COMPUTED_VALUE"""),"KKÜ")</f>
        <v>KKÜ</v>
      </c>
      <c r="C62" s="6" t="str">
        <f ca="1">IFERROR(__xludf.DUMMYFUNCTION("""COMPUTED_VALUE"""),"M")</f>
        <v>M</v>
      </c>
      <c r="D62" s="6" t="str">
        <f ca="1">IFERROR(__xludf.DUMMYFUNCTION("""COMPUTED_VALUE"""),"100m 3x10 H2")</f>
        <v>100m 3x10 H2</v>
      </c>
      <c r="E62" s="6" t="str">
        <f ca="1">IFERROR(__xludf.DUMMYFUNCTION("""COMPUTED_VALUE"""),"Võistkond")</f>
        <v>Võistkond</v>
      </c>
      <c r="F62" s="6" t="str">
        <f ca="1">IFERROR(__xludf.DUMMYFUNCTION("""COMPUTED_VALUE"""),"09.09.23")</f>
        <v>09.09.23</v>
      </c>
      <c r="G62" s="6">
        <f ca="1">IFERROR(__xludf.DUMMYFUNCTION("""COMPUTED_VALUE"""),89)</f>
        <v>89</v>
      </c>
      <c r="H62" s="6">
        <f ca="1">IFERROR(__xludf.DUMMYFUNCTION("""COMPUTED_VALUE"""),75)</f>
        <v>75</v>
      </c>
      <c r="I62" s="6">
        <f ca="1">IFERROR(__xludf.DUMMYFUNCTION("""COMPUTED_VALUE"""),69)</f>
        <v>69</v>
      </c>
      <c r="J62" s="6"/>
      <c r="K62" s="6"/>
      <c r="L62" s="6"/>
      <c r="M62" s="6">
        <f ca="1">IFERROR(__xludf.DUMMYFUNCTION("""COMPUTED_VALUE"""),233)</f>
        <v>233</v>
      </c>
      <c r="N62" s="6">
        <f ca="1">IFERROR(__xludf.DUMMYFUNCTION("""COMPUTED_VALUE"""),233)</f>
        <v>233</v>
      </c>
    </row>
    <row r="63" spans="1:14" ht="12.75">
      <c r="A63" s="6" t="str">
        <f ca="1">IFERROR(__xludf.DUMMYFUNCTION("""COMPUTED_VALUE"""),"Margus Purlau")</f>
        <v>Margus Purlau</v>
      </c>
      <c r="B63" s="6" t="str">
        <f ca="1">IFERROR(__xludf.DUMMYFUNCTION("""COMPUTED_VALUE"""),"KL peastaap")</f>
        <v>KL peastaap</v>
      </c>
      <c r="C63" s="6" t="str">
        <f ca="1">IFERROR(__xludf.DUMMYFUNCTION("""COMPUTED_VALUE"""),"M")</f>
        <v>M</v>
      </c>
      <c r="D63" s="6" t="str">
        <f ca="1">IFERROR(__xludf.DUMMYFUNCTION("""COMPUTED_VALUE"""),"100m 3x10 H2")</f>
        <v>100m 3x10 H2</v>
      </c>
      <c r="E63" s="6" t="str">
        <f ca="1">IFERROR(__xludf.DUMMYFUNCTION("""COMPUTED_VALUE"""),"Võistkond")</f>
        <v>Võistkond</v>
      </c>
      <c r="F63" s="6" t="str">
        <f ca="1">IFERROR(__xludf.DUMMYFUNCTION("""COMPUTED_VALUE"""),"09.09.23")</f>
        <v>09.09.23</v>
      </c>
      <c r="G63" s="6">
        <f ca="1">IFERROR(__xludf.DUMMYFUNCTION("""COMPUTED_VALUE"""),91)</f>
        <v>91</v>
      </c>
      <c r="H63" s="6">
        <f ca="1">IFERROR(__xludf.DUMMYFUNCTION("""COMPUTED_VALUE"""),85)</f>
        <v>85</v>
      </c>
      <c r="I63" s="6">
        <f ca="1">IFERROR(__xludf.DUMMYFUNCTION("""COMPUTED_VALUE"""),55)</f>
        <v>55</v>
      </c>
      <c r="J63" s="6"/>
      <c r="K63" s="6"/>
      <c r="L63" s="6"/>
      <c r="M63" s="6">
        <f ca="1">IFERROR(__xludf.DUMMYFUNCTION("""COMPUTED_VALUE"""),231)</f>
        <v>231</v>
      </c>
      <c r="N63" s="6">
        <f ca="1">IFERROR(__xludf.DUMMYFUNCTION("""COMPUTED_VALUE"""),231)</f>
        <v>231</v>
      </c>
    </row>
    <row r="64" spans="1:14" ht="12.75">
      <c r="A64" s="6" t="str">
        <f ca="1">IFERROR(__xludf.DUMMYFUNCTION("""COMPUTED_VALUE"""),"Olavi Kask")</f>
        <v>Olavi Kask</v>
      </c>
      <c r="B64" s="6" t="str">
        <f ca="1">IFERROR(__xludf.DUMMYFUNCTION("""COMPUTED_VALUE"""),"Tartu")</f>
        <v>Tartu</v>
      </c>
      <c r="C64" s="6" t="str">
        <f ca="1">IFERROR(__xludf.DUMMYFUNCTION("""COMPUTED_VALUE"""),"M")</f>
        <v>M</v>
      </c>
      <c r="D64" s="6" t="str">
        <f ca="1">IFERROR(__xludf.DUMMYFUNCTION("""COMPUTED_VALUE"""),"100m 3x10 H2")</f>
        <v>100m 3x10 H2</v>
      </c>
      <c r="E64" s="6" t="str">
        <f ca="1">IFERROR(__xludf.DUMMYFUNCTION("""COMPUTED_VALUE"""),"Individuaalne")</f>
        <v>Individuaalne</v>
      </c>
      <c r="F64" s="6" t="str">
        <f ca="1">IFERROR(__xludf.DUMMYFUNCTION("""COMPUTED_VALUE"""),"10.09.23")</f>
        <v>10.09.23</v>
      </c>
      <c r="G64" s="6">
        <f ca="1">IFERROR(__xludf.DUMMYFUNCTION("""COMPUTED_VALUE"""),90)</f>
        <v>90</v>
      </c>
      <c r="H64" s="6">
        <f ca="1">IFERROR(__xludf.DUMMYFUNCTION("""COMPUTED_VALUE"""),72)</f>
        <v>72</v>
      </c>
      <c r="I64" s="6">
        <f ca="1">IFERROR(__xludf.DUMMYFUNCTION("""COMPUTED_VALUE"""),66)</f>
        <v>66</v>
      </c>
      <c r="J64" s="6"/>
      <c r="K64" s="6"/>
      <c r="L64" s="6"/>
      <c r="M64" s="6">
        <f ca="1">IFERROR(__xludf.DUMMYFUNCTION("""COMPUTED_VALUE"""),228)</f>
        <v>228</v>
      </c>
      <c r="N64" s="6"/>
    </row>
    <row r="65" spans="1:14" ht="12.75">
      <c r="A65" s="6" t="str">
        <f ca="1">IFERROR(__xludf.DUMMYFUNCTION("""COMPUTED_VALUE"""),"Heli Hiiemäe")</f>
        <v>Heli Hiiemäe</v>
      </c>
      <c r="B65" s="6" t="str">
        <f ca="1">IFERROR(__xludf.DUMMYFUNCTION("""COMPUTED_VALUE"""),"Järva")</f>
        <v>Järva</v>
      </c>
      <c r="C65" s="6" t="str">
        <f ca="1">IFERROR(__xludf.DUMMYFUNCTION("""COMPUTED_VALUE"""),"N")</f>
        <v>N</v>
      </c>
      <c r="D65" s="6" t="str">
        <f ca="1">IFERROR(__xludf.DUMMYFUNCTION("""COMPUTED_VALUE"""),"100m 3x10 H2")</f>
        <v>100m 3x10 H2</v>
      </c>
      <c r="E65" s="6" t="str">
        <f ca="1">IFERROR(__xludf.DUMMYFUNCTION("""COMPUTED_VALUE"""),"Võistkond")</f>
        <v>Võistkond</v>
      </c>
      <c r="F65" s="6" t="str">
        <f ca="1">IFERROR(__xludf.DUMMYFUNCTION("""COMPUTED_VALUE"""),"09.09.23")</f>
        <v>09.09.23</v>
      </c>
      <c r="G65" s="6">
        <f ca="1">IFERROR(__xludf.DUMMYFUNCTION("""COMPUTED_VALUE"""),88)</f>
        <v>88</v>
      </c>
      <c r="H65" s="6">
        <f ca="1">IFERROR(__xludf.DUMMYFUNCTION("""COMPUTED_VALUE"""),78)</f>
        <v>78</v>
      </c>
      <c r="I65" s="6">
        <f ca="1">IFERROR(__xludf.DUMMYFUNCTION("""COMPUTED_VALUE"""),62)</f>
        <v>62</v>
      </c>
      <c r="J65" s="6"/>
      <c r="K65" s="6"/>
      <c r="L65" s="6"/>
      <c r="M65" s="6">
        <f ca="1">IFERROR(__xludf.DUMMYFUNCTION("""COMPUTED_VALUE"""),228)</f>
        <v>228</v>
      </c>
      <c r="N65" s="6">
        <f ca="1">IFERROR(__xludf.DUMMYFUNCTION("""COMPUTED_VALUE"""),228)</f>
        <v>228</v>
      </c>
    </row>
    <row r="66" spans="1:14" ht="12.75">
      <c r="A66" s="6" t="str">
        <f ca="1">IFERROR(__xludf.DUMMYFUNCTION("""COMPUTED_VALUE"""),"Aigar Truija")</f>
        <v>Aigar Truija</v>
      </c>
      <c r="B66" s="6" t="str">
        <f ca="1">IFERROR(__xludf.DUMMYFUNCTION("""COMPUTED_VALUE"""),"Võrumaa")</f>
        <v>Võrumaa</v>
      </c>
      <c r="C66" s="6" t="str">
        <f ca="1">IFERROR(__xludf.DUMMYFUNCTION("""COMPUTED_VALUE"""),"M")</f>
        <v>M</v>
      </c>
      <c r="D66" s="6" t="str">
        <f ca="1">IFERROR(__xludf.DUMMYFUNCTION("""COMPUTED_VALUE"""),"100m 3x10 H2")</f>
        <v>100m 3x10 H2</v>
      </c>
      <c r="E66" s="6" t="str">
        <f ca="1">IFERROR(__xludf.DUMMYFUNCTION("""COMPUTED_VALUE"""),"Võistkond")</f>
        <v>Võistkond</v>
      </c>
      <c r="F66" s="6" t="str">
        <f ca="1">IFERROR(__xludf.DUMMYFUNCTION("""COMPUTED_VALUE"""),"10.09.23")</f>
        <v>10.09.23</v>
      </c>
      <c r="G66" s="6">
        <f ca="1">IFERROR(__xludf.DUMMYFUNCTION("""COMPUTED_VALUE"""),87)</f>
        <v>87</v>
      </c>
      <c r="H66" s="6">
        <f ca="1">IFERROR(__xludf.DUMMYFUNCTION("""COMPUTED_VALUE"""),57)</f>
        <v>57</v>
      </c>
      <c r="I66" s="6">
        <f ca="1">IFERROR(__xludf.DUMMYFUNCTION("""COMPUTED_VALUE"""),76)</f>
        <v>76</v>
      </c>
      <c r="J66" s="6"/>
      <c r="K66" s="6"/>
      <c r="L66" s="6"/>
      <c r="M66" s="6">
        <f ca="1">IFERROR(__xludf.DUMMYFUNCTION("""COMPUTED_VALUE"""),220)</f>
        <v>220</v>
      </c>
      <c r="N66" s="6">
        <f ca="1">IFERROR(__xludf.DUMMYFUNCTION("""COMPUTED_VALUE"""),220)</f>
        <v>220</v>
      </c>
    </row>
    <row r="67" spans="1:14" ht="12.75">
      <c r="A67" s="6" t="str">
        <f ca="1">IFERROR(__xludf.DUMMYFUNCTION("""COMPUTED_VALUE"""),"Peeter Tuusis")</f>
        <v>Peeter Tuusis</v>
      </c>
      <c r="B67" s="6" t="str">
        <f ca="1">IFERROR(__xludf.DUMMYFUNCTION("""COMPUTED_VALUE"""),"Võrumaa")</f>
        <v>Võrumaa</v>
      </c>
      <c r="C67" s="6" t="str">
        <f ca="1">IFERROR(__xludf.DUMMYFUNCTION("""COMPUTED_VALUE"""),"M")</f>
        <v>M</v>
      </c>
      <c r="D67" s="6" t="str">
        <f ca="1">IFERROR(__xludf.DUMMYFUNCTION("""COMPUTED_VALUE"""),"100m 3x10 H2")</f>
        <v>100m 3x10 H2</v>
      </c>
      <c r="E67" s="6" t="str">
        <f ca="1">IFERROR(__xludf.DUMMYFUNCTION("""COMPUTED_VALUE"""),"Võistkond")</f>
        <v>Võistkond</v>
      </c>
      <c r="F67" s="6" t="str">
        <f ca="1">IFERROR(__xludf.DUMMYFUNCTION("""COMPUTED_VALUE"""),"10.09.23")</f>
        <v>10.09.23</v>
      </c>
      <c r="G67" s="6">
        <f ca="1">IFERROR(__xludf.DUMMYFUNCTION("""COMPUTED_VALUE"""),81)</f>
        <v>81</v>
      </c>
      <c r="H67" s="6">
        <f ca="1">IFERROR(__xludf.DUMMYFUNCTION("""COMPUTED_VALUE"""),75)</f>
        <v>75</v>
      </c>
      <c r="I67" s="6">
        <f ca="1">IFERROR(__xludf.DUMMYFUNCTION("""COMPUTED_VALUE"""),63)</f>
        <v>63</v>
      </c>
      <c r="J67" s="6"/>
      <c r="K67" s="6"/>
      <c r="L67" s="6"/>
      <c r="M67" s="6">
        <f ca="1">IFERROR(__xludf.DUMMYFUNCTION("""COMPUTED_VALUE"""),219)</f>
        <v>219</v>
      </c>
      <c r="N67" s="6">
        <f ca="1">IFERROR(__xludf.DUMMYFUNCTION("""COMPUTED_VALUE"""),219)</f>
        <v>219</v>
      </c>
    </row>
    <row r="68" spans="1:14" ht="12.75">
      <c r="A68" s="6" t="str">
        <f ca="1">IFERROR(__xludf.DUMMYFUNCTION("""COMPUTED_VALUE"""),"Jaanus Vooremäe")</f>
        <v>Jaanus Vooremäe</v>
      </c>
      <c r="B68" s="6" t="str">
        <f ca="1">IFERROR(__xludf.DUMMYFUNCTION("""COMPUTED_VALUE"""),"KKÜ")</f>
        <v>KKÜ</v>
      </c>
      <c r="C68" s="6" t="str">
        <f ca="1">IFERROR(__xludf.DUMMYFUNCTION("""COMPUTED_VALUE"""),"M")</f>
        <v>M</v>
      </c>
      <c r="D68" s="6" t="str">
        <f ca="1">IFERROR(__xludf.DUMMYFUNCTION("""COMPUTED_VALUE"""),"100m 3x10 H2")</f>
        <v>100m 3x10 H2</v>
      </c>
      <c r="E68" s="6" t="str">
        <f ca="1">IFERROR(__xludf.DUMMYFUNCTION("""COMPUTED_VALUE"""),"Individuaalne")</f>
        <v>Individuaalne</v>
      </c>
      <c r="F68" s="6" t="str">
        <f ca="1">IFERROR(__xludf.DUMMYFUNCTION("""COMPUTED_VALUE"""),"09.09.23")</f>
        <v>09.09.23</v>
      </c>
      <c r="G68" s="6">
        <f ca="1">IFERROR(__xludf.DUMMYFUNCTION("""COMPUTED_VALUE"""),88)</f>
        <v>88</v>
      </c>
      <c r="H68" s="6">
        <f ca="1">IFERROR(__xludf.DUMMYFUNCTION("""COMPUTED_VALUE"""),69)</f>
        <v>69</v>
      </c>
      <c r="I68" s="6">
        <f ca="1">IFERROR(__xludf.DUMMYFUNCTION("""COMPUTED_VALUE"""),62)</f>
        <v>62</v>
      </c>
      <c r="J68" s="6"/>
      <c r="K68" s="6"/>
      <c r="L68" s="6"/>
      <c r="M68" s="6">
        <f ca="1">IFERROR(__xludf.DUMMYFUNCTION("""COMPUTED_VALUE"""),219)</f>
        <v>219</v>
      </c>
      <c r="N68" s="6"/>
    </row>
    <row r="69" spans="1:14" ht="12.75">
      <c r="A69" s="6" t="str">
        <f ca="1">IFERROR(__xludf.DUMMYFUNCTION("""COMPUTED_VALUE"""),"Merri Laidma")</f>
        <v>Merri Laidma</v>
      </c>
      <c r="B69" s="6" t="str">
        <f ca="1">IFERROR(__xludf.DUMMYFUNCTION("""COMPUTED_VALUE"""),"KKÜ")</f>
        <v>KKÜ</v>
      </c>
      <c r="C69" s="6" t="str">
        <f ca="1">IFERROR(__xludf.DUMMYFUNCTION("""COMPUTED_VALUE"""),"N")</f>
        <v>N</v>
      </c>
      <c r="D69" s="6" t="str">
        <f ca="1">IFERROR(__xludf.DUMMYFUNCTION("""COMPUTED_VALUE"""),"100m 3x10 H2")</f>
        <v>100m 3x10 H2</v>
      </c>
      <c r="E69" s="6" t="str">
        <f ca="1">IFERROR(__xludf.DUMMYFUNCTION("""COMPUTED_VALUE"""),"Võistkond")</f>
        <v>Võistkond</v>
      </c>
      <c r="F69" s="6" t="str">
        <f ca="1">IFERROR(__xludf.DUMMYFUNCTION("""COMPUTED_VALUE"""),"09.09.23")</f>
        <v>09.09.23</v>
      </c>
      <c r="G69" s="6">
        <f ca="1">IFERROR(__xludf.DUMMYFUNCTION("""COMPUTED_VALUE"""),80)</f>
        <v>80</v>
      </c>
      <c r="H69" s="6">
        <f ca="1">IFERROR(__xludf.DUMMYFUNCTION("""COMPUTED_VALUE"""),73)</f>
        <v>73</v>
      </c>
      <c r="I69" s="6">
        <f ca="1">IFERROR(__xludf.DUMMYFUNCTION("""COMPUTED_VALUE"""),65)</f>
        <v>65</v>
      </c>
      <c r="J69" s="6"/>
      <c r="K69" s="6"/>
      <c r="L69" s="6"/>
      <c r="M69" s="6">
        <f ca="1">IFERROR(__xludf.DUMMYFUNCTION("""COMPUTED_VALUE"""),218)</f>
        <v>218</v>
      </c>
      <c r="N69" s="6">
        <f ca="1">IFERROR(__xludf.DUMMYFUNCTION("""COMPUTED_VALUE"""),218)</f>
        <v>218</v>
      </c>
    </row>
    <row r="70" spans="1:14" ht="12.75">
      <c r="A70" s="6" t="str">
        <f ca="1">IFERROR(__xludf.DUMMYFUNCTION("""COMPUTED_VALUE"""),"Katrin Arulepp")</f>
        <v>Katrin Arulepp</v>
      </c>
      <c r="B70" s="6" t="str">
        <f ca="1">IFERROR(__xludf.DUMMYFUNCTION("""COMPUTED_VALUE"""),"Põlva")</f>
        <v>Põlva</v>
      </c>
      <c r="C70" s="6" t="str">
        <f ca="1">IFERROR(__xludf.DUMMYFUNCTION("""COMPUTED_VALUE"""),"N")</f>
        <v>N</v>
      </c>
      <c r="D70" s="6" t="str">
        <f ca="1">IFERROR(__xludf.DUMMYFUNCTION("""COMPUTED_VALUE"""),"100m 3x10 H2")</f>
        <v>100m 3x10 H2</v>
      </c>
      <c r="E70" s="6" t="str">
        <f ca="1">IFERROR(__xludf.DUMMYFUNCTION("""COMPUTED_VALUE"""),"Võistkond")</f>
        <v>Võistkond</v>
      </c>
      <c r="F70" s="6" t="str">
        <f ca="1">IFERROR(__xludf.DUMMYFUNCTION("""COMPUTED_VALUE"""),"10.09.23")</f>
        <v>10.09.23</v>
      </c>
      <c r="G70" s="6">
        <f ca="1">IFERROR(__xludf.DUMMYFUNCTION("""COMPUTED_VALUE"""),89)</f>
        <v>89</v>
      </c>
      <c r="H70" s="6">
        <f ca="1">IFERROR(__xludf.DUMMYFUNCTION("""COMPUTED_VALUE"""),60)</f>
        <v>60</v>
      </c>
      <c r="I70" s="6">
        <f ca="1">IFERROR(__xludf.DUMMYFUNCTION("""COMPUTED_VALUE"""),66)</f>
        <v>66</v>
      </c>
      <c r="J70" s="6"/>
      <c r="K70" s="6"/>
      <c r="L70" s="6"/>
      <c r="M70" s="6">
        <f ca="1">IFERROR(__xludf.DUMMYFUNCTION("""COMPUTED_VALUE"""),215)</f>
        <v>215</v>
      </c>
      <c r="N70" s="6">
        <f ca="1">IFERROR(__xludf.DUMMYFUNCTION("""COMPUTED_VALUE"""),215)</f>
        <v>215</v>
      </c>
    </row>
    <row r="71" spans="1:14" ht="12.75">
      <c r="A71" s="6" t="str">
        <f ca="1">IFERROR(__xludf.DUMMYFUNCTION("""COMPUTED_VALUE"""),"Karin Madisson")</f>
        <v>Karin Madisson</v>
      </c>
      <c r="B71" s="6" t="str">
        <f ca="1">IFERROR(__xludf.DUMMYFUNCTION("""COMPUTED_VALUE"""),"Pärnumaa")</f>
        <v>Pärnumaa</v>
      </c>
      <c r="C71" s="6" t="str">
        <f ca="1">IFERROR(__xludf.DUMMYFUNCTION("""COMPUTED_VALUE"""),"N")</f>
        <v>N</v>
      </c>
      <c r="D71" s="6" t="str">
        <f ca="1">IFERROR(__xludf.DUMMYFUNCTION("""COMPUTED_VALUE"""),"100m 3x10 H2")</f>
        <v>100m 3x10 H2</v>
      </c>
      <c r="E71" s="6" t="str">
        <f ca="1">IFERROR(__xludf.DUMMYFUNCTION("""COMPUTED_VALUE"""),"Võistkond")</f>
        <v>Võistkond</v>
      </c>
      <c r="F71" s="6" t="str">
        <f ca="1">IFERROR(__xludf.DUMMYFUNCTION("""COMPUTED_VALUE"""),"09.09.23")</f>
        <v>09.09.23</v>
      </c>
      <c r="G71" s="6">
        <f ca="1">IFERROR(__xludf.DUMMYFUNCTION("""COMPUTED_VALUE"""),91)</f>
        <v>91</v>
      </c>
      <c r="H71" s="6">
        <f ca="1">IFERROR(__xludf.DUMMYFUNCTION("""COMPUTED_VALUE"""),73)</f>
        <v>73</v>
      </c>
      <c r="I71" s="6">
        <f ca="1">IFERROR(__xludf.DUMMYFUNCTION("""COMPUTED_VALUE"""),50)</f>
        <v>50</v>
      </c>
      <c r="J71" s="6"/>
      <c r="K71" s="6"/>
      <c r="L71" s="6"/>
      <c r="M71" s="6">
        <f ca="1">IFERROR(__xludf.DUMMYFUNCTION("""COMPUTED_VALUE"""),214)</f>
        <v>214</v>
      </c>
      <c r="N71" s="6">
        <f ca="1">IFERROR(__xludf.DUMMYFUNCTION("""COMPUTED_VALUE"""),214)</f>
        <v>214</v>
      </c>
    </row>
    <row r="72" spans="1:14" ht="12.75">
      <c r="A72" s="6" t="str">
        <f ca="1">IFERROR(__xludf.DUMMYFUNCTION("""COMPUTED_VALUE"""),"Evelin Lappalainen")</f>
        <v>Evelin Lappalainen</v>
      </c>
      <c r="B72" s="6" t="str">
        <f ca="1">IFERROR(__xludf.DUMMYFUNCTION("""COMPUTED_VALUE"""),"Sakala")</f>
        <v>Sakala</v>
      </c>
      <c r="C72" s="6" t="str">
        <f ca="1">IFERROR(__xludf.DUMMYFUNCTION("""COMPUTED_VALUE"""),"N")</f>
        <v>N</v>
      </c>
      <c r="D72" s="6" t="str">
        <f ca="1">IFERROR(__xludf.DUMMYFUNCTION("""COMPUTED_VALUE"""),"100m 3x10 H2")</f>
        <v>100m 3x10 H2</v>
      </c>
      <c r="E72" s="6" t="str">
        <f ca="1">IFERROR(__xludf.DUMMYFUNCTION("""COMPUTED_VALUE"""),"Võistkond")</f>
        <v>Võistkond</v>
      </c>
      <c r="F72" s="6" t="str">
        <f ca="1">IFERROR(__xludf.DUMMYFUNCTION("""COMPUTED_VALUE"""),"10.09.23")</f>
        <v>10.09.23</v>
      </c>
      <c r="G72" s="6">
        <f ca="1">IFERROR(__xludf.DUMMYFUNCTION("""COMPUTED_VALUE"""),80)</f>
        <v>80</v>
      </c>
      <c r="H72" s="6">
        <f ca="1">IFERROR(__xludf.DUMMYFUNCTION("""COMPUTED_VALUE"""),64)</f>
        <v>64</v>
      </c>
      <c r="I72" s="6">
        <f ca="1">IFERROR(__xludf.DUMMYFUNCTION("""COMPUTED_VALUE"""),69)</f>
        <v>69</v>
      </c>
      <c r="J72" s="6"/>
      <c r="K72" s="6"/>
      <c r="L72" s="6"/>
      <c r="M72" s="6">
        <f ca="1">IFERROR(__xludf.DUMMYFUNCTION("""COMPUTED_VALUE"""),213)</f>
        <v>213</v>
      </c>
      <c r="N72" s="6">
        <f ca="1">IFERROR(__xludf.DUMMYFUNCTION("""COMPUTED_VALUE"""),213)</f>
        <v>213</v>
      </c>
    </row>
    <row r="73" spans="1:14" ht="12.75">
      <c r="A73" s="6" t="str">
        <f ca="1">IFERROR(__xludf.DUMMYFUNCTION("""COMPUTED_VALUE"""),"Ruth Maadla")</f>
        <v>Ruth Maadla</v>
      </c>
      <c r="B73" s="6" t="str">
        <f ca="1">IFERROR(__xludf.DUMMYFUNCTION("""COMPUTED_VALUE"""),"Võrumaa")</f>
        <v>Võrumaa</v>
      </c>
      <c r="C73" s="6" t="str">
        <f ca="1">IFERROR(__xludf.DUMMYFUNCTION("""COMPUTED_VALUE"""),"N")</f>
        <v>N</v>
      </c>
      <c r="D73" s="6" t="str">
        <f ca="1">IFERROR(__xludf.DUMMYFUNCTION("""COMPUTED_VALUE"""),"100m 3x10 H2")</f>
        <v>100m 3x10 H2</v>
      </c>
      <c r="E73" s="6" t="str">
        <f ca="1">IFERROR(__xludf.DUMMYFUNCTION("""COMPUTED_VALUE"""),"Individuaalne")</f>
        <v>Individuaalne</v>
      </c>
      <c r="F73" s="6" t="str">
        <f ca="1">IFERROR(__xludf.DUMMYFUNCTION("""COMPUTED_VALUE"""),"10.09.23")</f>
        <v>10.09.23</v>
      </c>
      <c r="G73" s="6">
        <f ca="1">IFERROR(__xludf.DUMMYFUNCTION("""COMPUTED_VALUE"""),62)</f>
        <v>62</v>
      </c>
      <c r="H73" s="6">
        <f ca="1">IFERROR(__xludf.DUMMYFUNCTION("""COMPUTED_VALUE"""),87)</f>
        <v>87</v>
      </c>
      <c r="I73" s="6">
        <f ca="1">IFERROR(__xludf.DUMMYFUNCTION("""COMPUTED_VALUE"""),63)</f>
        <v>63</v>
      </c>
      <c r="J73" s="6"/>
      <c r="K73" s="6"/>
      <c r="L73" s="6"/>
      <c r="M73" s="6">
        <f ca="1">IFERROR(__xludf.DUMMYFUNCTION("""COMPUTED_VALUE"""),212)</f>
        <v>212</v>
      </c>
      <c r="N73" s="6"/>
    </row>
    <row r="74" spans="1:14" ht="12.75">
      <c r="A74" s="6" t="str">
        <f ca="1">IFERROR(__xludf.DUMMYFUNCTION("""COMPUTED_VALUE"""),"Andri Tenson")</f>
        <v>Andri Tenson</v>
      </c>
      <c r="B74" s="6" t="str">
        <f ca="1">IFERROR(__xludf.DUMMYFUNCTION("""COMPUTED_VALUE"""),"Lääne")</f>
        <v>Lääne</v>
      </c>
      <c r="C74" s="6" t="str">
        <f ca="1">IFERROR(__xludf.DUMMYFUNCTION("""COMPUTED_VALUE"""),"M")</f>
        <v>M</v>
      </c>
      <c r="D74" s="6" t="str">
        <f ca="1">IFERROR(__xludf.DUMMYFUNCTION("""COMPUTED_VALUE"""),"100m 3x10 H2")</f>
        <v>100m 3x10 H2</v>
      </c>
      <c r="E74" s="6" t="str">
        <f ca="1">IFERROR(__xludf.DUMMYFUNCTION("""COMPUTED_VALUE"""),"Võistkond")</f>
        <v>Võistkond</v>
      </c>
      <c r="F74" s="6" t="str">
        <f ca="1">IFERROR(__xludf.DUMMYFUNCTION("""COMPUTED_VALUE"""),"10.09.23")</f>
        <v>10.09.23</v>
      </c>
      <c r="G74" s="6">
        <f ca="1">IFERROR(__xludf.DUMMYFUNCTION("""COMPUTED_VALUE"""),90)</f>
        <v>90</v>
      </c>
      <c r="H74" s="6">
        <f ca="1">IFERROR(__xludf.DUMMYFUNCTION("""COMPUTED_VALUE"""),76)</f>
        <v>76</v>
      </c>
      <c r="I74" s="6">
        <f ca="1">IFERROR(__xludf.DUMMYFUNCTION("""COMPUTED_VALUE"""),44)</f>
        <v>44</v>
      </c>
      <c r="J74" s="6"/>
      <c r="K74" s="6"/>
      <c r="L74" s="6"/>
      <c r="M74" s="6">
        <f ca="1">IFERROR(__xludf.DUMMYFUNCTION("""COMPUTED_VALUE"""),210)</f>
        <v>210</v>
      </c>
      <c r="N74" s="6">
        <f ca="1">IFERROR(__xludf.DUMMYFUNCTION("""COMPUTED_VALUE"""),210)</f>
        <v>210</v>
      </c>
    </row>
    <row r="75" spans="1:14" ht="12.75">
      <c r="A75" s="6" t="str">
        <f ca="1">IFERROR(__xludf.DUMMYFUNCTION("""COMPUTED_VALUE"""),"Kristi Mets")</f>
        <v>Kristi Mets</v>
      </c>
      <c r="B75" s="6" t="str">
        <f ca="1">IFERROR(__xludf.DUMMYFUNCTION("""COMPUTED_VALUE"""),"Harju")</f>
        <v>Harju</v>
      </c>
      <c r="C75" s="6" t="str">
        <f ca="1">IFERROR(__xludf.DUMMYFUNCTION("""COMPUTED_VALUE"""),"N")</f>
        <v>N</v>
      </c>
      <c r="D75" s="6" t="str">
        <f ca="1">IFERROR(__xludf.DUMMYFUNCTION("""COMPUTED_VALUE"""),"100m 3x10 H2")</f>
        <v>100m 3x10 H2</v>
      </c>
      <c r="E75" s="6" t="str">
        <f ca="1">IFERROR(__xludf.DUMMYFUNCTION("""COMPUTED_VALUE"""),"Võistkond")</f>
        <v>Võistkond</v>
      </c>
      <c r="F75" s="6" t="str">
        <f ca="1">IFERROR(__xludf.DUMMYFUNCTION("""COMPUTED_VALUE"""),"10.09.23")</f>
        <v>10.09.23</v>
      </c>
      <c r="G75" s="6">
        <f ca="1">IFERROR(__xludf.DUMMYFUNCTION("""COMPUTED_VALUE"""),76)</f>
        <v>76</v>
      </c>
      <c r="H75" s="6">
        <f ca="1">IFERROR(__xludf.DUMMYFUNCTION("""COMPUTED_VALUE"""),71)</f>
        <v>71</v>
      </c>
      <c r="I75" s="6">
        <f ca="1">IFERROR(__xludf.DUMMYFUNCTION("""COMPUTED_VALUE"""),60)</f>
        <v>60</v>
      </c>
      <c r="J75" s="6"/>
      <c r="K75" s="6"/>
      <c r="L75" s="6"/>
      <c r="M75" s="6">
        <f ca="1">IFERROR(__xludf.DUMMYFUNCTION("""COMPUTED_VALUE"""),207)</f>
        <v>207</v>
      </c>
      <c r="N75" s="6">
        <f ca="1">IFERROR(__xludf.DUMMYFUNCTION("""COMPUTED_VALUE"""),207)</f>
        <v>207</v>
      </c>
    </row>
    <row r="76" spans="1:14" ht="12.75">
      <c r="A76" s="6" t="str">
        <f ca="1">IFERROR(__xludf.DUMMYFUNCTION("""COMPUTED_VALUE"""),"Kert Kreem")</f>
        <v>Kert Kreem</v>
      </c>
      <c r="B76" s="6" t="str">
        <f ca="1">IFERROR(__xludf.DUMMYFUNCTION("""COMPUTED_VALUE"""),"Saaremaa")</f>
        <v>Saaremaa</v>
      </c>
      <c r="C76" s="6" t="str">
        <f ca="1">IFERROR(__xludf.DUMMYFUNCTION("""COMPUTED_VALUE"""),"M")</f>
        <v>M</v>
      </c>
      <c r="D76" s="6" t="str">
        <f ca="1">IFERROR(__xludf.DUMMYFUNCTION("""COMPUTED_VALUE"""),"100m 3x10 H2")</f>
        <v>100m 3x10 H2</v>
      </c>
      <c r="E76" s="6" t="str">
        <f ca="1">IFERROR(__xludf.DUMMYFUNCTION("""COMPUTED_VALUE"""),"Võistkond")</f>
        <v>Võistkond</v>
      </c>
      <c r="F76" s="6" t="str">
        <f ca="1">IFERROR(__xludf.DUMMYFUNCTION("""COMPUTED_VALUE"""),"09.09.23")</f>
        <v>09.09.23</v>
      </c>
      <c r="G76" s="6">
        <f ca="1">IFERROR(__xludf.DUMMYFUNCTION("""COMPUTED_VALUE"""),67)</f>
        <v>67</v>
      </c>
      <c r="H76" s="6">
        <f ca="1">IFERROR(__xludf.DUMMYFUNCTION("""COMPUTED_VALUE"""),67)</f>
        <v>67</v>
      </c>
      <c r="I76" s="6">
        <f ca="1">IFERROR(__xludf.DUMMYFUNCTION("""COMPUTED_VALUE"""),59)</f>
        <v>59</v>
      </c>
      <c r="J76" s="6"/>
      <c r="K76" s="6"/>
      <c r="L76" s="6"/>
      <c r="M76" s="6">
        <f ca="1">IFERROR(__xludf.DUMMYFUNCTION("""COMPUTED_VALUE"""),193)</f>
        <v>193</v>
      </c>
      <c r="N76" s="6">
        <f ca="1">IFERROR(__xludf.DUMMYFUNCTION("""COMPUTED_VALUE"""),193)</f>
        <v>193</v>
      </c>
    </row>
    <row r="77" spans="1:14" ht="12.75">
      <c r="A77" s="6" t="str">
        <f ca="1">IFERROR(__xludf.DUMMYFUNCTION("""COMPUTED_VALUE"""),"Laura Lees")</f>
        <v>Laura Lees</v>
      </c>
      <c r="B77" s="6" t="str">
        <f ca="1">IFERROR(__xludf.DUMMYFUNCTION("""COMPUTED_VALUE"""),"Võrumaa")</f>
        <v>Võrumaa</v>
      </c>
      <c r="C77" s="6" t="str">
        <f ca="1">IFERROR(__xludf.DUMMYFUNCTION("""COMPUTED_VALUE"""),"N")</f>
        <v>N</v>
      </c>
      <c r="D77" s="6" t="str">
        <f ca="1">IFERROR(__xludf.DUMMYFUNCTION("""COMPUTED_VALUE"""),"100m 3x10 H2")</f>
        <v>100m 3x10 H2</v>
      </c>
      <c r="E77" s="6" t="str">
        <f ca="1">IFERROR(__xludf.DUMMYFUNCTION("""COMPUTED_VALUE"""),"Võistkond")</f>
        <v>Võistkond</v>
      </c>
      <c r="F77" s="6" t="str">
        <f ca="1">IFERROR(__xludf.DUMMYFUNCTION("""COMPUTED_VALUE"""),"10.09.23")</f>
        <v>10.09.23</v>
      </c>
      <c r="G77" s="6">
        <f ca="1">IFERROR(__xludf.DUMMYFUNCTION("""COMPUTED_VALUE"""),71)</f>
        <v>71</v>
      </c>
      <c r="H77" s="6">
        <f ca="1">IFERROR(__xludf.DUMMYFUNCTION("""COMPUTED_VALUE"""),57)</f>
        <v>57</v>
      </c>
      <c r="I77" s="6">
        <f ca="1">IFERROR(__xludf.DUMMYFUNCTION("""COMPUTED_VALUE"""),56)</f>
        <v>56</v>
      </c>
      <c r="J77" s="6"/>
      <c r="K77" s="6"/>
      <c r="L77" s="6"/>
      <c r="M77" s="6">
        <f ca="1">IFERROR(__xludf.DUMMYFUNCTION("""COMPUTED_VALUE"""),184)</f>
        <v>184</v>
      </c>
      <c r="N77" s="6">
        <f ca="1">IFERROR(__xludf.DUMMYFUNCTION("""COMPUTED_VALUE"""),184)</f>
        <v>184</v>
      </c>
    </row>
    <row r="78" spans="1:14" ht="12.75">
      <c r="A78" s="6" t="str">
        <f ca="1">IFERROR(__xludf.DUMMYFUNCTION("""COMPUTED_VALUE"""),"Andrus Keerd")</f>
        <v>Andrus Keerd</v>
      </c>
      <c r="B78" s="6" t="str">
        <f ca="1">IFERROR(__xludf.DUMMYFUNCTION("""COMPUTED_VALUE"""),"Sakala")</f>
        <v>Sakala</v>
      </c>
      <c r="C78" s="6" t="str">
        <f ca="1">IFERROR(__xludf.DUMMYFUNCTION("""COMPUTED_VALUE"""),"M")</f>
        <v>M</v>
      </c>
      <c r="D78" s="6" t="str">
        <f ca="1">IFERROR(__xludf.DUMMYFUNCTION("""COMPUTED_VALUE"""),"100m 3x10 H2")</f>
        <v>100m 3x10 H2</v>
      </c>
      <c r="E78" s="6" t="str">
        <f ca="1">IFERROR(__xludf.DUMMYFUNCTION("""COMPUTED_VALUE"""),"Võistkond")</f>
        <v>Võistkond</v>
      </c>
      <c r="F78" s="6" t="str">
        <f ca="1">IFERROR(__xludf.DUMMYFUNCTION("""COMPUTED_VALUE"""),"10.09.23")</f>
        <v>10.09.23</v>
      </c>
      <c r="G78" s="6">
        <f ca="1">IFERROR(__xludf.DUMMYFUNCTION("""COMPUTED_VALUE"""),63)</f>
        <v>63</v>
      </c>
      <c r="H78" s="6">
        <f ca="1">IFERROR(__xludf.DUMMYFUNCTION("""COMPUTED_VALUE"""),39)</f>
        <v>39</v>
      </c>
      <c r="I78" s="6">
        <f ca="1">IFERROR(__xludf.DUMMYFUNCTION("""COMPUTED_VALUE"""),35)</f>
        <v>35</v>
      </c>
      <c r="J78" s="6"/>
      <c r="K78" s="6"/>
      <c r="L78" s="6"/>
      <c r="M78" s="6">
        <f ca="1">IFERROR(__xludf.DUMMYFUNCTION("""COMPUTED_VALUE"""),137)</f>
        <v>137</v>
      </c>
      <c r="N78" s="6">
        <f ca="1">IFERROR(__xludf.DUMMYFUNCTION("""COMPUTED_VALUE"""),137)</f>
        <v>137</v>
      </c>
    </row>
    <row r="79" spans="1:14" ht="12.75">
      <c r="A79" s="6" t="str">
        <f ca="1">IFERROR(__xludf.DUMMYFUNCTION("""COMPUTED_VALUE"""),"Kadri Forsström")</f>
        <v>Kadri Forsström</v>
      </c>
      <c r="B79" s="6" t="str">
        <f ca="1">IFERROR(__xludf.DUMMYFUNCTION("""COMPUTED_VALUE"""),"Saaremaa")</f>
        <v>Saaremaa</v>
      </c>
      <c r="C79" s="6" t="str">
        <f ca="1">IFERROR(__xludf.DUMMYFUNCTION("""COMPUTED_VALUE"""),"N")</f>
        <v>N</v>
      </c>
      <c r="D79" s="6" t="str">
        <f ca="1">IFERROR(__xludf.DUMMYFUNCTION("""COMPUTED_VALUE"""),"100m 3x10 H2")</f>
        <v>100m 3x10 H2</v>
      </c>
      <c r="E79" s="6" t="str">
        <f ca="1">IFERROR(__xludf.DUMMYFUNCTION("""COMPUTED_VALUE"""),"Võistkond")</f>
        <v>Võistkond</v>
      </c>
      <c r="F79" s="6" t="str">
        <f ca="1">IFERROR(__xludf.DUMMYFUNCTION("""COMPUTED_VALUE"""),"09.09.23")</f>
        <v>09.09.23</v>
      </c>
      <c r="G79" s="6">
        <f ca="1">IFERROR(__xludf.DUMMYFUNCTION("""COMPUTED_VALUE"""),77)</f>
        <v>77</v>
      </c>
      <c r="H79" s="6">
        <f ca="1">IFERROR(__xludf.DUMMYFUNCTION("""COMPUTED_VALUE"""),13)</f>
        <v>13</v>
      </c>
      <c r="I79" s="6">
        <f ca="1">IFERROR(__xludf.DUMMYFUNCTION("""COMPUTED_VALUE"""),30)</f>
        <v>30</v>
      </c>
      <c r="J79" s="6"/>
      <c r="K79" s="6"/>
      <c r="L79" s="6"/>
      <c r="M79" s="6">
        <f ca="1">IFERROR(__xludf.DUMMYFUNCTION("""COMPUTED_VALUE"""),120)</f>
        <v>120</v>
      </c>
      <c r="N79" s="6">
        <f ca="1">IFERROR(__xludf.DUMMYFUNCTION("""COMPUTED_VALUE"""),120)</f>
        <v>120</v>
      </c>
    </row>
  </sheetData>
  <customSheetViews>
    <customSheetView guid="{845FBECC-592C-4475-9184-0C9DD86A8A6D}" filter="1" showAutoFilter="1">
      <pageMargins left="0.7" right="0.7" top="0.75" bottom="0.75" header="0.3" footer="0.3"/>
      <autoFilter ref="A2:N1000" xr:uid="{38F0D063-0712-4E46-86E5-8AB9C222A5CC}">
        <filterColumn colId="2">
          <filters blank="1">
            <filter val="N"/>
          </filters>
        </filterColumn>
        <filterColumn colId="3">
          <filters>
            <filter val="100m 3x10 H2"/>
          </filters>
        </filterColumn>
      </autoFilter>
    </customSheetView>
    <customSheetView guid="{C6C5E855-7C77-4921-8F13-A733EE6303FA}" filter="1" showAutoFilter="1">
      <pageMargins left="0.7" right="0.7" top="0.75" bottom="0.75" header="0.3" footer="0.3"/>
      <autoFilter ref="A2:N1000" xr:uid="{DE2C875E-C4DB-4840-B737-B89CE671F70E}">
        <filterColumn colId="2">
          <filters blank="1">
            <filter val="M"/>
          </filters>
        </filterColumn>
        <filterColumn colId="3">
          <filters>
            <filter val="100m 3x10 H2"/>
          </filters>
        </filterColumn>
      </autoFilter>
    </customSheetView>
  </customSheetView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8.42578125" customWidth="1"/>
    <col min="2" max="2" width="11.85546875" customWidth="1"/>
    <col min="3" max="3" width="7.5703125" customWidth="1"/>
    <col min="4" max="4" width="10.140625" customWidth="1"/>
    <col min="6" max="6" width="11.5703125" customWidth="1"/>
    <col min="8" max="14" width="8" customWidth="1"/>
    <col min="15" max="16" width="8.28515625" customWidth="1"/>
  </cols>
  <sheetData>
    <row r="1" spans="1:26" ht="52.5" customHeight="1">
      <c r="A1" s="8" t="s">
        <v>12</v>
      </c>
      <c r="C1" s="27" t="s">
        <v>33</v>
      </c>
      <c r="D1" s="28"/>
      <c r="K1" s="8" t="s">
        <v>36</v>
      </c>
    </row>
    <row r="2" spans="1:26" ht="25.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tr">
        <f ca="1">IFERROR(__xludf.DUMMYFUNCTION("SORT(FILTER(Nimekiri,ALA=A1),13,FALSE,8,FALSE)"),"Henry Tammann")</f>
        <v>Henry Tammann</v>
      </c>
      <c r="B3" s="6" t="str">
        <f ca="1">IFERROR(__xludf.DUMMYFUNCTION("""COMPUTED_VALUE"""),"Alutaguse")</f>
        <v>Alutaguse</v>
      </c>
      <c r="C3" s="6" t="str">
        <f ca="1">IFERROR(__xludf.DUMMYFUNCTION("""COMPUTED_VALUE"""),"M")</f>
        <v>M</v>
      </c>
      <c r="D3" s="6" t="str">
        <f ca="1">IFERROR(__xludf.DUMMYFUNCTION("""COMPUTED_VALUE"""),"50m liikuv H4")</f>
        <v>50m liikuv H4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IFERROR(__xludf.DUMMYFUNCTION("""COMPUTED_VALUE"""),96)</f>
        <v>96</v>
      </c>
      <c r="H3" s="6">
        <f ca="1">IFERROR(__xludf.DUMMYFUNCTION("""COMPUTED_VALUE"""),95)</f>
        <v>95</v>
      </c>
      <c r="I3" s="6"/>
      <c r="J3" s="6"/>
      <c r="K3" s="6"/>
      <c r="L3" s="6"/>
      <c r="M3" s="6">
        <f ca="1">IFERROR(__xludf.DUMMYFUNCTION("""COMPUTED_VALUE"""),191)</f>
        <v>191</v>
      </c>
      <c r="N3" s="6">
        <f ca="1">IFERROR(__xludf.DUMMYFUNCTION("""COMPUTED_VALUE"""),286.5)</f>
        <v>286.5</v>
      </c>
    </row>
    <row r="4" spans="1:26" ht="12.75">
      <c r="A4" s="6" t="str">
        <f ca="1">IFERROR(__xludf.DUMMYFUNCTION("""COMPUTED_VALUE"""),"Tanel Oja")</f>
        <v>Tanel Oja</v>
      </c>
      <c r="B4" s="6" t="str">
        <f ca="1">IFERROR(__xludf.DUMMYFUNCTION("""COMPUTED_VALUE"""),"Alutaguse")</f>
        <v>Alutaguse</v>
      </c>
      <c r="C4" s="6" t="str">
        <f ca="1">IFERROR(__xludf.DUMMYFUNCTION("""COMPUTED_VALUE"""),"M")</f>
        <v>M</v>
      </c>
      <c r="D4" s="6" t="str">
        <f ca="1">IFERROR(__xludf.DUMMYFUNCTION("""COMPUTED_VALUE"""),"50m liikuv H4")</f>
        <v>50m liikuv H4</v>
      </c>
      <c r="E4" s="6" t="str">
        <f ca="1">IFERROR(__xludf.DUMMYFUNCTION("""COMPUTED_VALUE"""),"Individuaalne")</f>
        <v>Individuaalne</v>
      </c>
      <c r="F4" s="6" t="str">
        <f ca="1">IFERROR(__xludf.DUMMYFUNCTION("""COMPUTED_VALUE"""),"09.09.23")</f>
        <v>09.09.23</v>
      </c>
      <c r="G4" s="6">
        <f ca="1">IFERROR(__xludf.DUMMYFUNCTION("""COMPUTED_VALUE"""),94)</f>
        <v>94</v>
      </c>
      <c r="H4" s="6">
        <f ca="1">IFERROR(__xludf.DUMMYFUNCTION("""COMPUTED_VALUE"""),95)</f>
        <v>95</v>
      </c>
      <c r="I4" s="6"/>
      <c r="J4" s="6"/>
      <c r="K4" s="6"/>
      <c r="L4" s="6"/>
      <c r="M4" s="6">
        <f ca="1">IFERROR(__xludf.DUMMYFUNCTION("""COMPUTED_VALUE"""),189)</f>
        <v>189</v>
      </c>
      <c r="N4" s="6"/>
    </row>
    <row r="5" spans="1:26" ht="12.75">
      <c r="A5" s="6" t="str">
        <f ca="1">IFERROR(__xludf.DUMMYFUNCTION("""COMPUTED_VALUE"""),"Fred Raukas")</f>
        <v>Fred Raukas</v>
      </c>
      <c r="B5" s="6" t="str">
        <f ca="1">IFERROR(__xludf.DUMMYFUNCTION("""COMPUTED_VALUE"""),"Tallinn")</f>
        <v>Tallinn</v>
      </c>
      <c r="C5" s="6" t="str">
        <f ca="1">IFERROR(__xludf.DUMMYFUNCTION("""COMPUTED_VALUE"""),"M")</f>
        <v>M</v>
      </c>
      <c r="D5" s="6" t="str">
        <f ca="1">IFERROR(__xludf.DUMMYFUNCTION("""COMPUTED_VALUE"""),"50m liikuv H4")</f>
        <v>50m liikuv H4</v>
      </c>
      <c r="E5" s="6" t="str">
        <f ca="1">IFERROR(__xludf.DUMMYFUNCTION("""COMPUTED_VALUE"""),"Individuaalne")</f>
        <v>Individuaalne</v>
      </c>
      <c r="F5" s="6" t="str">
        <f ca="1">IFERROR(__xludf.DUMMYFUNCTION("""COMPUTED_VALUE"""),"09.09.23")</f>
        <v>09.09.23</v>
      </c>
      <c r="G5" s="6">
        <f ca="1">IFERROR(__xludf.DUMMYFUNCTION("""COMPUTED_VALUE"""),94)</f>
        <v>94</v>
      </c>
      <c r="H5" s="6">
        <f ca="1">IFERROR(__xludf.DUMMYFUNCTION("""COMPUTED_VALUE"""),94)</f>
        <v>94</v>
      </c>
      <c r="I5" s="6"/>
      <c r="J5" s="6"/>
      <c r="K5" s="6"/>
      <c r="L5" s="6"/>
      <c r="M5" s="6">
        <f ca="1">IFERROR(__xludf.DUMMYFUNCTION("""COMPUTED_VALUE"""),188)</f>
        <v>188</v>
      </c>
      <c r="N5" s="6"/>
    </row>
    <row r="6" spans="1:26" ht="12.75">
      <c r="A6" s="6" t="str">
        <f ca="1">IFERROR(__xludf.DUMMYFUNCTION("""COMPUTED_VALUE"""),"Juss Leinbock")</f>
        <v>Juss Leinbock</v>
      </c>
      <c r="B6" s="6" t="str">
        <f ca="1">IFERROR(__xludf.DUMMYFUNCTION("""COMPUTED_VALUE"""),"Alutaguse")</f>
        <v>Alutaguse</v>
      </c>
      <c r="C6" s="6" t="str">
        <f ca="1">IFERROR(__xludf.DUMMYFUNCTION("""COMPUTED_VALUE"""),"M")</f>
        <v>M</v>
      </c>
      <c r="D6" s="6" t="str">
        <f ca="1">IFERROR(__xludf.DUMMYFUNCTION("""COMPUTED_VALUE"""),"50m liikuv H4")</f>
        <v>50m liikuv H4</v>
      </c>
      <c r="E6" s="6" t="str">
        <f ca="1">IFERROR(__xludf.DUMMYFUNCTION("""COMPUTED_VALUE"""),"Individuaalne")</f>
        <v>Individuaalne</v>
      </c>
      <c r="F6" s="6" t="str">
        <f ca="1">IFERROR(__xludf.DUMMYFUNCTION("""COMPUTED_VALUE"""),"09.09.23")</f>
        <v>09.09.23</v>
      </c>
      <c r="G6" s="6">
        <f ca="1">IFERROR(__xludf.DUMMYFUNCTION("""COMPUTED_VALUE"""),90)</f>
        <v>90</v>
      </c>
      <c r="H6" s="6">
        <f ca="1">IFERROR(__xludf.DUMMYFUNCTION("""COMPUTED_VALUE"""),92)</f>
        <v>92</v>
      </c>
      <c r="I6" s="6"/>
      <c r="J6" s="6"/>
      <c r="K6" s="6"/>
      <c r="L6" s="6"/>
      <c r="M6" s="6">
        <f ca="1">IFERROR(__xludf.DUMMYFUNCTION("""COMPUTED_VALUE"""),182)</f>
        <v>182</v>
      </c>
      <c r="N6" s="6"/>
    </row>
    <row r="7" spans="1:26" ht="12.75">
      <c r="A7" s="6" t="str">
        <f ca="1">IFERROR(__xludf.DUMMYFUNCTION("""COMPUTED_VALUE"""),"Siim Jeeberg")</f>
        <v>Siim Jeeberg</v>
      </c>
      <c r="B7" s="6" t="str">
        <f ca="1">IFERROR(__xludf.DUMMYFUNCTION("""COMPUTED_VALUE"""),"Lääne")</f>
        <v>Lääne</v>
      </c>
      <c r="C7" s="6" t="str">
        <f ca="1">IFERROR(__xludf.DUMMYFUNCTION("""COMPUTED_VALUE"""),"M")</f>
        <v>M</v>
      </c>
      <c r="D7" s="6" t="str">
        <f ca="1">IFERROR(__xludf.DUMMYFUNCTION("""COMPUTED_VALUE"""),"50m liikuv H4")</f>
        <v>50m liikuv H4</v>
      </c>
      <c r="E7" s="6" t="str">
        <f ca="1">IFERROR(__xludf.DUMMYFUNCTION("""COMPUTED_VALUE"""),"Võistkond")</f>
        <v>Võistkond</v>
      </c>
      <c r="F7" s="6" t="str">
        <f ca="1">IFERROR(__xludf.DUMMYFUNCTION("""COMPUTED_VALUE"""),"10.09.23")</f>
        <v>10.09.23</v>
      </c>
      <c r="G7" s="6">
        <f ca="1">IFERROR(__xludf.DUMMYFUNCTION("""COMPUTED_VALUE"""),94)</f>
        <v>94</v>
      </c>
      <c r="H7" s="6">
        <f ca="1">IFERROR(__xludf.DUMMYFUNCTION("""COMPUTED_VALUE"""),87)</f>
        <v>87</v>
      </c>
      <c r="I7" s="6"/>
      <c r="J7" s="6"/>
      <c r="K7" s="6"/>
      <c r="L7" s="6"/>
      <c r="M7" s="6">
        <f ca="1">IFERROR(__xludf.DUMMYFUNCTION("""COMPUTED_VALUE"""),181)</f>
        <v>181</v>
      </c>
      <c r="N7" s="6">
        <f ca="1">IFERROR(__xludf.DUMMYFUNCTION("""COMPUTED_VALUE"""),271.5)</f>
        <v>271.5</v>
      </c>
    </row>
    <row r="8" spans="1:26" ht="12.75">
      <c r="A8" s="6" t="str">
        <f ca="1">IFERROR(__xludf.DUMMYFUNCTION("""COMPUTED_VALUE"""),"Jaanus Kala")</f>
        <v>Jaanus Kala</v>
      </c>
      <c r="B8" s="6" t="str">
        <f ca="1">IFERROR(__xludf.DUMMYFUNCTION("""COMPUTED_VALUE"""),"Võrumaa")</f>
        <v>Võrumaa</v>
      </c>
      <c r="C8" s="6" t="str">
        <f ca="1">IFERROR(__xludf.DUMMYFUNCTION("""COMPUTED_VALUE"""),"M")</f>
        <v>M</v>
      </c>
      <c r="D8" s="6" t="str">
        <f ca="1">IFERROR(__xludf.DUMMYFUNCTION("""COMPUTED_VALUE"""),"50m liikuv H4")</f>
        <v>50m liikuv H4</v>
      </c>
      <c r="E8" s="6" t="str">
        <f ca="1">IFERROR(__xludf.DUMMYFUNCTION("""COMPUTED_VALUE"""),"Võistkond")</f>
        <v>Võistkond</v>
      </c>
      <c r="F8" s="6" t="str">
        <f ca="1">IFERROR(__xludf.DUMMYFUNCTION("""COMPUTED_VALUE"""),"10.09.23")</f>
        <v>10.09.23</v>
      </c>
      <c r="G8" s="6">
        <f ca="1">IFERROR(__xludf.DUMMYFUNCTION("""COMPUTED_VALUE"""),90)</f>
        <v>90</v>
      </c>
      <c r="H8" s="6">
        <f ca="1">IFERROR(__xludf.DUMMYFUNCTION("""COMPUTED_VALUE"""),89)</f>
        <v>89</v>
      </c>
      <c r="I8" s="6"/>
      <c r="J8" s="6"/>
      <c r="K8" s="6"/>
      <c r="L8" s="6"/>
      <c r="M8" s="6">
        <f ca="1">IFERROR(__xludf.DUMMYFUNCTION("""COMPUTED_VALUE"""),179)</f>
        <v>179</v>
      </c>
      <c r="N8" s="6">
        <f ca="1">IFERROR(__xludf.DUMMYFUNCTION("""COMPUTED_VALUE"""),268.5)</f>
        <v>268.5</v>
      </c>
    </row>
    <row r="9" spans="1:26" ht="12.75">
      <c r="A9" s="6" t="str">
        <f ca="1">IFERROR(__xludf.DUMMYFUNCTION("""COMPUTED_VALUE"""),"Tambet Leinbock")</f>
        <v>Tambet Leinbock</v>
      </c>
      <c r="B9" s="6" t="str">
        <f ca="1">IFERROR(__xludf.DUMMYFUNCTION("""COMPUTED_VALUE"""),"Alutaguse")</f>
        <v>Alutaguse</v>
      </c>
      <c r="C9" s="6" t="str">
        <f ca="1">IFERROR(__xludf.DUMMYFUNCTION("""COMPUTED_VALUE"""),"M")</f>
        <v>M</v>
      </c>
      <c r="D9" s="6" t="str">
        <f ca="1">IFERROR(__xludf.DUMMYFUNCTION("""COMPUTED_VALUE"""),"50m liikuv H4")</f>
        <v>50m liikuv H4</v>
      </c>
      <c r="E9" s="6" t="str">
        <f ca="1">IFERROR(__xludf.DUMMYFUNCTION("""COMPUTED_VALUE"""),"Individuaalne")</f>
        <v>Individuaalne</v>
      </c>
      <c r="F9" s="6" t="str">
        <f ca="1">IFERROR(__xludf.DUMMYFUNCTION("""COMPUTED_VALUE"""),"09.09.23")</f>
        <v>09.09.23</v>
      </c>
      <c r="G9" s="6">
        <f ca="1">IFERROR(__xludf.DUMMYFUNCTION("""COMPUTED_VALUE"""),87)</f>
        <v>87</v>
      </c>
      <c r="H9" s="6">
        <f ca="1">IFERROR(__xludf.DUMMYFUNCTION("""COMPUTED_VALUE"""),91)</f>
        <v>91</v>
      </c>
      <c r="I9" s="6"/>
      <c r="J9" s="6"/>
      <c r="K9" s="6"/>
      <c r="L9" s="6"/>
      <c r="M9" s="6">
        <f ca="1">IFERROR(__xludf.DUMMYFUNCTION("""COMPUTED_VALUE"""),178)</f>
        <v>178</v>
      </c>
      <c r="N9" s="6"/>
    </row>
    <row r="10" spans="1:26" ht="12.75">
      <c r="A10" s="6" t="str">
        <f ca="1">IFERROR(__xludf.DUMMYFUNCTION("""COMPUTED_VALUE"""),"Ülar Laaneoja")</f>
        <v>Ülar Laaneoja</v>
      </c>
      <c r="B10" s="6" t="str">
        <f ca="1">IFERROR(__xludf.DUMMYFUNCTION("""COMPUTED_VALUE"""),"Tartu")</f>
        <v>Tartu</v>
      </c>
      <c r="C10" s="6" t="str">
        <f ca="1">IFERROR(__xludf.DUMMYFUNCTION("""COMPUTED_VALUE"""),"M")</f>
        <v>M</v>
      </c>
      <c r="D10" s="6" t="str">
        <f ca="1">IFERROR(__xludf.DUMMYFUNCTION("""COMPUTED_VALUE"""),"50m liikuv H4")</f>
        <v>50m liikuv H4</v>
      </c>
      <c r="E10" s="6" t="str">
        <f ca="1">IFERROR(__xludf.DUMMYFUNCTION("""COMPUTED_VALUE"""),"Võistkond")</f>
        <v>Võistkond</v>
      </c>
      <c r="F10" s="6" t="str">
        <f ca="1">IFERROR(__xludf.DUMMYFUNCTION("""COMPUTED_VALUE"""),"10.09.23")</f>
        <v>10.09.23</v>
      </c>
      <c r="G10" s="6">
        <f ca="1">IFERROR(__xludf.DUMMYFUNCTION("""COMPUTED_VALUE"""),91)</f>
        <v>91</v>
      </c>
      <c r="H10" s="6">
        <f ca="1">IFERROR(__xludf.DUMMYFUNCTION("""COMPUTED_VALUE"""),87)</f>
        <v>87</v>
      </c>
      <c r="I10" s="6"/>
      <c r="J10" s="6"/>
      <c r="K10" s="6"/>
      <c r="L10" s="6"/>
      <c r="M10" s="6">
        <f ca="1">IFERROR(__xludf.DUMMYFUNCTION("""COMPUTED_VALUE"""),178)</f>
        <v>178</v>
      </c>
      <c r="N10" s="6">
        <f ca="1">IFERROR(__xludf.DUMMYFUNCTION("""COMPUTED_VALUE"""),267)</f>
        <v>267</v>
      </c>
    </row>
    <row r="11" spans="1:26" ht="12.75">
      <c r="A11" s="6" t="str">
        <f ca="1">IFERROR(__xludf.DUMMYFUNCTION("""COMPUTED_VALUE"""),"Heili Lepp")</f>
        <v>Heili Lepp</v>
      </c>
      <c r="B11" s="6" t="str">
        <f ca="1">IFERROR(__xludf.DUMMYFUNCTION("""COMPUTED_VALUE"""),"Tallinn")</f>
        <v>Tallinn</v>
      </c>
      <c r="C11" s="6" t="str">
        <f ca="1">IFERROR(__xludf.DUMMYFUNCTION("""COMPUTED_VALUE"""),"N")</f>
        <v>N</v>
      </c>
      <c r="D11" s="6" t="str">
        <f ca="1">IFERROR(__xludf.DUMMYFUNCTION("""COMPUTED_VALUE"""),"50m liikuv H4")</f>
        <v>50m liikuv H4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IFERROR(__xludf.DUMMYFUNCTION("""COMPUTED_VALUE"""),92)</f>
        <v>92</v>
      </c>
      <c r="H11" s="6">
        <f ca="1">IFERROR(__xludf.DUMMYFUNCTION("""COMPUTED_VALUE"""),86)</f>
        <v>86</v>
      </c>
      <c r="I11" s="6"/>
      <c r="J11" s="6"/>
      <c r="K11" s="6"/>
      <c r="L11" s="6"/>
      <c r="M11" s="6">
        <f ca="1">IFERROR(__xludf.DUMMYFUNCTION("""COMPUTED_VALUE"""),178)</f>
        <v>178</v>
      </c>
      <c r="N11" s="6">
        <f ca="1">IFERROR(__xludf.DUMMYFUNCTION("""COMPUTED_VALUE"""),267)</f>
        <v>267</v>
      </c>
    </row>
    <row r="12" spans="1:26" ht="12.75">
      <c r="A12" s="6" t="str">
        <f ca="1">IFERROR(__xludf.DUMMYFUNCTION("""COMPUTED_VALUE"""),"Hellar Sile")</f>
        <v>Hellar Sile</v>
      </c>
      <c r="B12" s="6" t="str">
        <f ca="1">IFERROR(__xludf.DUMMYFUNCTION("""COMPUTED_VALUE"""),"Viru")</f>
        <v>Viru</v>
      </c>
      <c r="C12" s="6" t="str">
        <f ca="1">IFERROR(__xludf.DUMMYFUNCTION("""COMPUTED_VALUE"""),"M")</f>
        <v>M</v>
      </c>
      <c r="D12" s="6" t="str">
        <f ca="1">IFERROR(__xludf.DUMMYFUNCTION("""COMPUTED_VALUE"""),"50m liikuv H4")</f>
        <v>50m liikuv H4</v>
      </c>
      <c r="E12" s="6" t="str">
        <f ca="1">IFERROR(__xludf.DUMMYFUNCTION("""COMPUTED_VALUE"""),"Võistkond")</f>
        <v>Võistkond</v>
      </c>
      <c r="F12" s="6" t="str">
        <f ca="1">IFERROR(__xludf.DUMMYFUNCTION("""COMPUTED_VALUE"""),"10.09.23")</f>
        <v>10.09.23</v>
      </c>
      <c r="G12" s="6">
        <f ca="1">IFERROR(__xludf.DUMMYFUNCTION("""COMPUTED_VALUE"""),85)</f>
        <v>85</v>
      </c>
      <c r="H12" s="6">
        <f ca="1">IFERROR(__xludf.DUMMYFUNCTION("""COMPUTED_VALUE"""),92)</f>
        <v>92</v>
      </c>
      <c r="I12" s="6"/>
      <c r="J12" s="6"/>
      <c r="K12" s="6"/>
      <c r="L12" s="6"/>
      <c r="M12" s="6">
        <f ca="1">IFERROR(__xludf.DUMMYFUNCTION("""COMPUTED_VALUE"""),177)</f>
        <v>177</v>
      </c>
      <c r="N12" s="6">
        <f ca="1">IFERROR(__xludf.DUMMYFUNCTION("""COMPUTED_VALUE"""),265.5)</f>
        <v>265.5</v>
      </c>
    </row>
    <row r="13" spans="1:26" ht="12.75">
      <c r="A13" s="6" t="str">
        <f ca="1">IFERROR(__xludf.DUMMYFUNCTION("""COMPUTED_VALUE"""),"Veiko Park")</f>
        <v>Veiko Park</v>
      </c>
      <c r="B13" s="6" t="str">
        <f ca="1">IFERROR(__xludf.DUMMYFUNCTION("""COMPUTED_VALUE"""),"Võrumaa")</f>
        <v>Võrumaa</v>
      </c>
      <c r="C13" s="6" t="str">
        <f ca="1">IFERROR(__xludf.DUMMYFUNCTION("""COMPUTED_VALUE"""),"M")</f>
        <v>M</v>
      </c>
      <c r="D13" s="6" t="str">
        <f ca="1">IFERROR(__xludf.DUMMYFUNCTION("""COMPUTED_VALUE"""),"50m liikuv H4")</f>
        <v>50m liikuv H4</v>
      </c>
      <c r="E13" s="6" t="str">
        <f ca="1">IFERROR(__xludf.DUMMYFUNCTION("""COMPUTED_VALUE"""),"Individuaalne")</f>
        <v>Individuaalne</v>
      </c>
      <c r="F13" s="6" t="str">
        <f ca="1">IFERROR(__xludf.DUMMYFUNCTION("""COMPUTED_VALUE"""),"10.09.23")</f>
        <v>10.09.23</v>
      </c>
      <c r="G13" s="6">
        <f ca="1">IFERROR(__xludf.DUMMYFUNCTION("""COMPUTED_VALUE"""),89)</f>
        <v>89</v>
      </c>
      <c r="H13" s="6">
        <f ca="1">IFERROR(__xludf.DUMMYFUNCTION("""COMPUTED_VALUE"""),88)</f>
        <v>88</v>
      </c>
      <c r="I13" s="6"/>
      <c r="J13" s="6"/>
      <c r="K13" s="6"/>
      <c r="L13" s="6"/>
      <c r="M13" s="6">
        <f ca="1">IFERROR(__xludf.DUMMYFUNCTION("""COMPUTED_VALUE"""),177)</f>
        <v>177</v>
      </c>
      <c r="N13" s="6"/>
    </row>
    <row r="14" spans="1:26" ht="12.75">
      <c r="A14" s="6" t="str">
        <f ca="1">IFERROR(__xludf.DUMMYFUNCTION("""COMPUTED_VALUE"""),"Urmas Lichtfeldt")</f>
        <v>Urmas Lichtfeldt</v>
      </c>
      <c r="B14" s="6" t="str">
        <f ca="1">IFERROR(__xludf.DUMMYFUNCTION("""COMPUTED_VALUE"""),"KKÜ")</f>
        <v>KKÜ</v>
      </c>
      <c r="C14" s="6" t="str">
        <f ca="1">IFERROR(__xludf.DUMMYFUNCTION("""COMPUTED_VALUE"""),"M")</f>
        <v>M</v>
      </c>
      <c r="D14" s="6" t="str">
        <f ca="1">IFERROR(__xludf.DUMMYFUNCTION("""COMPUTED_VALUE"""),"50m liikuv H4")</f>
        <v>50m liikuv H4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IFERROR(__xludf.DUMMYFUNCTION("""COMPUTED_VALUE"""),87)</f>
        <v>87</v>
      </c>
      <c r="H14" s="6">
        <f ca="1">IFERROR(__xludf.DUMMYFUNCTION("""COMPUTED_VALUE"""),89)</f>
        <v>89</v>
      </c>
      <c r="I14" s="6"/>
      <c r="J14" s="6"/>
      <c r="K14" s="6"/>
      <c r="L14" s="6"/>
      <c r="M14" s="6">
        <f ca="1">IFERROR(__xludf.DUMMYFUNCTION("""COMPUTED_VALUE"""),176)</f>
        <v>176</v>
      </c>
      <c r="N14" s="6">
        <f ca="1">IFERROR(__xludf.DUMMYFUNCTION("""COMPUTED_VALUE"""),264)</f>
        <v>264</v>
      </c>
    </row>
    <row r="15" spans="1:26" ht="12.75">
      <c r="A15" s="6" t="str">
        <f ca="1">IFERROR(__xludf.DUMMYFUNCTION("""COMPUTED_VALUE"""),"Elmet Orasson")</f>
        <v>Elmet Orasson</v>
      </c>
      <c r="B15" s="6" t="str">
        <f ca="1">IFERROR(__xludf.DUMMYFUNCTION("""COMPUTED_VALUE"""),"Tallinn")</f>
        <v>Tallinn</v>
      </c>
      <c r="C15" s="6" t="str">
        <f ca="1">IFERROR(__xludf.DUMMYFUNCTION("""COMPUTED_VALUE"""),"M")</f>
        <v>M</v>
      </c>
      <c r="D15" s="6" t="str">
        <f ca="1">IFERROR(__xludf.DUMMYFUNCTION("""COMPUTED_VALUE"""),"50m liikuv H4")</f>
        <v>50m liikuv H4</v>
      </c>
      <c r="E15" s="6" t="str">
        <f ca="1">IFERROR(__xludf.DUMMYFUNCTION("""COMPUTED_VALUE"""),"Individuaalne")</f>
        <v>Individuaalne</v>
      </c>
      <c r="F15" s="6" t="str">
        <f ca="1">IFERROR(__xludf.DUMMYFUNCTION("""COMPUTED_VALUE"""),"09.09.23")</f>
        <v>09.09.23</v>
      </c>
      <c r="G15" s="6">
        <f ca="1">IFERROR(__xludf.DUMMYFUNCTION("""COMPUTED_VALUE"""),83)</f>
        <v>83</v>
      </c>
      <c r="H15" s="6">
        <f ca="1">IFERROR(__xludf.DUMMYFUNCTION("""COMPUTED_VALUE"""),89)</f>
        <v>89</v>
      </c>
      <c r="I15" s="6"/>
      <c r="J15" s="6"/>
      <c r="K15" s="6"/>
      <c r="L15" s="6"/>
      <c r="M15" s="6">
        <f ca="1">IFERROR(__xludf.DUMMYFUNCTION("""COMPUTED_VALUE"""),172)</f>
        <v>172</v>
      </c>
      <c r="N15" s="6"/>
    </row>
    <row r="16" spans="1:26" ht="12.75">
      <c r="A16" s="6" t="str">
        <f ca="1">IFERROR(__xludf.DUMMYFUNCTION("""COMPUTED_VALUE"""),"Indrek Tombak")</f>
        <v>Indrek Tombak</v>
      </c>
      <c r="B16" s="6" t="str">
        <f ca="1">IFERROR(__xludf.DUMMYFUNCTION("""COMPUTED_VALUE"""),"Järva")</f>
        <v>Järva</v>
      </c>
      <c r="C16" s="6" t="str">
        <f ca="1">IFERROR(__xludf.DUMMYFUNCTION("""COMPUTED_VALUE"""),"M")</f>
        <v>M</v>
      </c>
      <c r="D16" s="6" t="str">
        <f ca="1">IFERROR(__xludf.DUMMYFUNCTION("""COMPUTED_VALUE"""),"50m liikuv H4")</f>
        <v>50m liikuv H4</v>
      </c>
      <c r="E16" s="6" t="str">
        <f ca="1">IFERROR(__xludf.DUMMYFUNCTION("""COMPUTED_VALUE"""),"Võistkond")</f>
        <v>Võistkond</v>
      </c>
      <c r="F16" s="6" t="str">
        <f ca="1">IFERROR(__xludf.DUMMYFUNCTION("""COMPUTED_VALUE"""),"09.09.23")</f>
        <v>09.09.23</v>
      </c>
      <c r="G16" s="6">
        <f ca="1">IFERROR(__xludf.DUMMYFUNCTION("""COMPUTED_VALUE"""),88)</f>
        <v>88</v>
      </c>
      <c r="H16" s="6">
        <f ca="1">IFERROR(__xludf.DUMMYFUNCTION("""COMPUTED_VALUE"""),84)</f>
        <v>84</v>
      </c>
      <c r="I16" s="6"/>
      <c r="J16" s="6"/>
      <c r="K16" s="6"/>
      <c r="L16" s="6"/>
      <c r="M16" s="6">
        <f ca="1">IFERROR(__xludf.DUMMYFUNCTION("""COMPUTED_VALUE"""),172)</f>
        <v>172</v>
      </c>
      <c r="N16" s="6">
        <f ca="1">IFERROR(__xludf.DUMMYFUNCTION("""COMPUTED_VALUE"""),258)</f>
        <v>258</v>
      </c>
    </row>
    <row r="17" spans="1:14" ht="12.75">
      <c r="A17" s="6" t="str">
        <f ca="1">IFERROR(__xludf.DUMMYFUNCTION("""COMPUTED_VALUE"""),"Rasmus Ruusmäe")</f>
        <v>Rasmus Ruusmäe</v>
      </c>
      <c r="B17" s="6" t="str">
        <f ca="1">IFERROR(__xludf.DUMMYFUNCTION("""COMPUTED_VALUE"""),"KL peastaap")</f>
        <v>KL peastaap</v>
      </c>
      <c r="C17" s="6" t="str">
        <f ca="1">IFERROR(__xludf.DUMMYFUNCTION("""COMPUTED_VALUE"""),"M")</f>
        <v>M</v>
      </c>
      <c r="D17" s="6" t="str">
        <f ca="1">IFERROR(__xludf.DUMMYFUNCTION("""COMPUTED_VALUE"""),"50m liikuv H4")</f>
        <v>50m liikuv H4</v>
      </c>
      <c r="E17" s="6" t="str">
        <f ca="1">IFERROR(__xludf.DUMMYFUNCTION("""COMPUTED_VALUE"""),"Võistkond")</f>
        <v>Võistkond</v>
      </c>
      <c r="F17" s="6" t="str">
        <f ca="1">IFERROR(__xludf.DUMMYFUNCTION("""COMPUTED_VALUE"""),"09.09.23")</f>
        <v>09.09.23</v>
      </c>
      <c r="G17" s="6">
        <f ca="1">IFERROR(__xludf.DUMMYFUNCTION("""COMPUTED_VALUE"""),84)</f>
        <v>84</v>
      </c>
      <c r="H17" s="6">
        <f ca="1">IFERROR(__xludf.DUMMYFUNCTION("""COMPUTED_VALUE"""),86)</f>
        <v>86</v>
      </c>
      <c r="I17" s="6"/>
      <c r="J17" s="6"/>
      <c r="K17" s="6"/>
      <c r="L17" s="6"/>
      <c r="M17" s="6">
        <f ca="1">IFERROR(__xludf.DUMMYFUNCTION("""COMPUTED_VALUE"""),170)</f>
        <v>170</v>
      </c>
      <c r="N17" s="6">
        <f ca="1">IFERROR(__xludf.DUMMYFUNCTION("""COMPUTED_VALUE"""),255)</f>
        <v>255</v>
      </c>
    </row>
    <row r="18" spans="1:14" ht="12.75">
      <c r="A18" s="6" t="str">
        <f ca="1">IFERROR(__xludf.DUMMYFUNCTION("""COMPUTED_VALUE"""),"Rando Köster")</f>
        <v>Rando Köster</v>
      </c>
      <c r="B18" s="6" t="str">
        <f ca="1">IFERROR(__xludf.DUMMYFUNCTION("""COMPUTED_VALUE"""),"Pärnumaa")</f>
        <v>Pärnumaa</v>
      </c>
      <c r="C18" s="6" t="str">
        <f ca="1">IFERROR(__xludf.DUMMYFUNCTION("""COMPUTED_VALUE"""),"M")</f>
        <v>M</v>
      </c>
      <c r="D18" s="6" t="str">
        <f ca="1">IFERROR(__xludf.DUMMYFUNCTION("""COMPUTED_VALUE"""),"50m liikuv H4")</f>
        <v>50m liikuv H4</v>
      </c>
      <c r="E18" s="6" t="str">
        <f ca="1">IFERROR(__xludf.DUMMYFUNCTION("""COMPUTED_VALUE"""),"Võistkond")</f>
        <v>Võistkond</v>
      </c>
      <c r="F18" s="6" t="str">
        <f ca="1">IFERROR(__xludf.DUMMYFUNCTION("""COMPUTED_VALUE"""),"09.09.23")</f>
        <v>09.09.23</v>
      </c>
      <c r="G18" s="6">
        <f ca="1">IFERROR(__xludf.DUMMYFUNCTION("""COMPUTED_VALUE"""),85)</f>
        <v>85</v>
      </c>
      <c r="H18" s="6">
        <f ca="1">IFERROR(__xludf.DUMMYFUNCTION("""COMPUTED_VALUE"""),85)</f>
        <v>85</v>
      </c>
      <c r="I18" s="6"/>
      <c r="J18" s="6"/>
      <c r="K18" s="6"/>
      <c r="L18" s="6"/>
      <c r="M18" s="6">
        <f ca="1">IFERROR(__xludf.DUMMYFUNCTION("""COMPUTED_VALUE"""),170)</f>
        <v>170</v>
      </c>
      <c r="N18" s="6">
        <f ca="1">IFERROR(__xludf.DUMMYFUNCTION("""COMPUTED_VALUE"""),255)</f>
        <v>255</v>
      </c>
    </row>
    <row r="19" spans="1:14" ht="12.75">
      <c r="A19" s="6" t="str">
        <f ca="1">IFERROR(__xludf.DUMMYFUNCTION("""COMPUTED_VALUE"""),"Rauno Piirimets")</f>
        <v>Rauno Piirimets</v>
      </c>
      <c r="B19" s="6" t="str">
        <f ca="1">IFERROR(__xludf.DUMMYFUNCTION("""COMPUTED_VALUE"""),"Rapla")</f>
        <v>Rapla</v>
      </c>
      <c r="C19" s="6" t="str">
        <f ca="1">IFERROR(__xludf.DUMMYFUNCTION("""COMPUTED_VALUE"""),"M")</f>
        <v>M</v>
      </c>
      <c r="D19" s="6" t="str">
        <f ca="1">IFERROR(__xludf.DUMMYFUNCTION("""COMPUTED_VALUE"""),"50m liikuv H4")</f>
        <v>50m liikuv H4</v>
      </c>
      <c r="E19" s="6" t="str">
        <f ca="1">IFERROR(__xludf.DUMMYFUNCTION("""COMPUTED_VALUE"""),"Võistkond")</f>
        <v>Võistkond</v>
      </c>
      <c r="F19" s="6" t="str">
        <f ca="1">IFERROR(__xludf.DUMMYFUNCTION("""COMPUTED_VALUE"""),"10.09.23")</f>
        <v>10.09.23</v>
      </c>
      <c r="G19" s="6">
        <f ca="1">IFERROR(__xludf.DUMMYFUNCTION("""COMPUTED_VALUE"""),85)</f>
        <v>85</v>
      </c>
      <c r="H19" s="6">
        <f ca="1">IFERROR(__xludf.DUMMYFUNCTION("""COMPUTED_VALUE"""),83)</f>
        <v>83</v>
      </c>
      <c r="I19" s="6"/>
      <c r="J19" s="6"/>
      <c r="K19" s="6"/>
      <c r="L19" s="6"/>
      <c r="M19" s="6">
        <f ca="1">IFERROR(__xludf.DUMMYFUNCTION("""COMPUTED_VALUE"""),168)</f>
        <v>168</v>
      </c>
      <c r="N19" s="6">
        <f ca="1">IFERROR(__xludf.DUMMYFUNCTION("""COMPUTED_VALUE"""),252)</f>
        <v>252</v>
      </c>
    </row>
    <row r="20" spans="1:14" ht="12.75">
      <c r="A20" s="6" t="str">
        <f ca="1">IFERROR(__xludf.DUMMYFUNCTION("""COMPUTED_VALUE"""),"Daimar Elp")</f>
        <v>Daimar Elp</v>
      </c>
      <c r="B20" s="6" t="str">
        <f ca="1">IFERROR(__xludf.DUMMYFUNCTION("""COMPUTED_VALUE"""),"Tartu")</f>
        <v>Tartu</v>
      </c>
      <c r="C20" s="6" t="str">
        <f ca="1">IFERROR(__xludf.DUMMYFUNCTION("""COMPUTED_VALUE"""),"M")</f>
        <v>M</v>
      </c>
      <c r="D20" s="6" t="str">
        <f ca="1">IFERROR(__xludf.DUMMYFUNCTION("""COMPUTED_VALUE"""),"50m liikuv H4")</f>
        <v>50m liikuv H4</v>
      </c>
      <c r="E20" s="6" t="str">
        <f ca="1">IFERROR(__xludf.DUMMYFUNCTION("""COMPUTED_VALUE"""),"Individuaalne")</f>
        <v>Individuaalne</v>
      </c>
      <c r="F20" s="6" t="str">
        <f ca="1">IFERROR(__xludf.DUMMYFUNCTION("""COMPUTED_VALUE"""),"10.09.23")</f>
        <v>10.09.23</v>
      </c>
      <c r="G20" s="6">
        <f ca="1">IFERROR(__xludf.DUMMYFUNCTION("""COMPUTED_VALUE"""),87)</f>
        <v>87</v>
      </c>
      <c r="H20" s="6">
        <f ca="1">IFERROR(__xludf.DUMMYFUNCTION("""COMPUTED_VALUE"""),81)</f>
        <v>81</v>
      </c>
      <c r="I20" s="6"/>
      <c r="J20" s="6"/>
      <c r="K20" s="6"/>
      <c r="L20" s="6"/>
      <c r="M20" s="6">
        <f ca="1">IFERROR(__xludf.DUMMYFUNCTION("""COMPUTED_VALUE"""),168)</f>
        <v>168</v>
      </c>
      <c r="N20" s="6"/>
    </row>
    <row r="21" spans="1:14" ht="12.75">
      <c r="A21" s="6" t="str">
        <f ca="1">IFERROR(__xludf.DUMMYFUNCTION("""COMPUTED_VALUE"""),"Marko Ender")</f>
        <v>Marko Ender</v>
      </c>
      <c r="B21" s="6" t="str">
        <f ca="1">IFERROR(__xludf.DUMMYFUNCTION("""COMPUTED_VALUE"""),"Lääne")</f>
        <v>Lääne</v>
      </c>
      <c r="C21" s="6" t="str">
        <f ca="1">IFERROR(__xludf.DUMMYFUNCTION("""COMPUTED_VALUE"""),"M")</f>
        <v>M</v>
      </c>
      <c r="D21" s="6" t="str">
        <f ca="1">IFERROR(__xludf.DUMMYFUNCTION("""COMPUTED_VALUE"""),"50m liikuv H4")</f>
        <v>50m liikuv H4</v>
      </c>
      <c r="E21" s="6" t="str">
        <f ca="1">IFERROR(__xludf.DUMMYFUNCTION("""COMPUTED_VALUE"""),"Individuaalne")</f>
        <v>Individuaalne</v>
      </c>
      <c r="F21" s="6" t="str">
        <f ca="1">IFERROR(__xludf.DUMMYFUNCTION("""COMPUTED_VALUE"""),"10.09.23")</f>
        <v>10.09.23</v>
      </c>
      <c r="G21" s="6">
        <f ca="1">IFERROR(__xludf.DUMMYFUNCTION("""COMPUTED_VALUE"""),87)</f>
        <v>87</v>
      </c>
      <c r="H21" s="6">
        <f ca="1">IFERROR(__xludf.DUMMYFUNCTION("""COMPUTED_VALUE"""),77)</f>
        <v>77</v>
      </c>
      <c r="I21" s="6"/>
      <c r="J21" s="6"/>
      <c r="K21" s="6"/>
      <c r="L21" s="6"/>
      <c r="M21" s="6">
        <f ca="1">IFERROR(__xludf.DUMMYFUNCTION("""COMPUTED_VALUE"""),164)</f>
        <v>164</v>
      </c>
      <c r="N21" s="6"/>
    </row>
    <row r="22" spans="1:14" ht="12.75">
      <c r="A22" s="6" t="str">
        <f ca="1">IFERROR(__xludf.DUMMYFUNCTION("""COMPUTED_VALUE"""),"Tarmo Juurak")</f>
        <v>Tarmo Juurak</v>
      </c>
      <c r="B22" s="6" t="str">
        <f ca="1">IFERROR(__xludf.DUMMYFUNCTION("""COMPUTED_VALUE"""),"Harju")</f>
        <v>Harju</v>
      </c>
      <c r="C22" s="6" t="str">
        <f ca="1">IFERROR(__xludf.DUMMYFUNCTION("""COMPUTED_VALUE"""),"M")</f>
        <v>M</v>
      </c>
      <c r="D22" s="6" t="str">
        <f ca="1">IFERROR(__xludf.DUMMYFUNCTION("""COMPUTED_VALUE"""),"50m liikuv H4")</f>
        <v>50m liikuv H4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IFERROR(__xludf.DUMMYFUNCTION("""COMPUTED_VALUE"""),87)</f>
        <v>87</v>
      </c>
      <c r="H22" s="6">
        <f ca="1">IFERROR(__xludf.DUMMYFUNCTION("""COMPUTED_VALUE"""),75)</f>
        <v>75</v>
      </c>
      <c r="I22" s="6"/>
      <c r="J22" s="6"/>
      <c r="K22" s="6"/>
      <c r="L22" s="6"/>
      <c r="M22" s="6">
        <f ca="1">IFERROR(__xludf.DUMMYFUNCTION("""COMPUTED_VALUE"""),162)</f>
        <v>162</v>
      </c>
      <c r="N22" s="6">
        <f ca="1">IFERROR(__xludf.DUMMYFUNCTION("""COMPUTED_VALUE"""),243)</f>
        <v>243</v>
      </c>
    </row>
    <row r="23" spans="1:14" ht="12.75">
      <c r="A23" s="6" t="str">
        <f ca="1">IFERROR(__xludf.DUMMYFUNCTION("""COMPUTED_VALUE"""),"Kert Humal")</f>
        <v>Kert Humal</v>
      </c>
      <c r="B23" s="6" t="str">
        <f ca="1">IFERROR(__xludf.DUMMYFUNCTION("""COMPUTED_VALUE"""),"Saaremaa")</f>
        <v>Saaremaa</v>
      </c>
      <c r="C23" s="6" t="str">
        <f ca="1">IFERROR(__xludf.DUMMYFUNCTION("""COMPUTED_VALUE"""),"M")</f>
        <v>M</v>
      </c>
      <c r="D23" s="6" t="str">
        <f ca="1">IFERROR(__xludf.DUMMYFUNCTION("""COMPUTED_VALUE"""),"50m liikuv H4")</f>
        <v>50m liikuv H4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IFERROR(__xludf.DUMMYFUNCTION("""COMPUTED_VALUE"""),81)</f>
        <v>81</v>
      </c>
      <c r="H23" s="6">
        <f ca="1">IFERROR(__xludf.DUMMYFUNCTION("""COMPUTED_VALUE"""),80)</f>
        <v>80</v>
      </c>
      <c r="I23" s="6"/>
      <c r="J23" s="6"/>
      <c r="K23" s="6"/>
      <c r="L23" s="6"/>
      <c r="M23" s="6">
        <f ca="1">IFERROR(__xludf.DUMMYFUNCTION("""COMPUTED_VALUE"""),161)</f>
        <v>161</v>
      </c>
      <c r="N23" s="6">
        <f ca="1">IFERROR(__xludf.DUMMYFUNCTION("""COMPUTED_VALUE"""),241.5)</f>
        <v>241.5</v>
      </c>
    </row>
    <row r="24" spans="1:14" ht="12.75">
      <c r="A24" s="6" t="str">
        <f ca="1">IFERROR(__xludf.DUMMYFUNCTION("""COMPUTED_VALUE"""),"Allan Anniste")</f>
        <v>Allan Anniste</v>
      </c>
      <c r="B24" s="6" t="str">
        <f ca="1">IFERROR(__xludf.DUMMYFUNCTION("""COMPUTED_VALUE"""),"Järva")</f>
        <v>Järva</v>
      </c>
      <c r="C24" s="6" t="str">
        <f ca="1">IFERROR(__xludf.DUMMYFUNCTION("""COMPUTED_VALUE"""),"M")</f>
        <v>M</v>
      </c>
      <c r="D24" s="6" t="str">
        <f ca="1">IFERROR(__xludf.DUMMYFUNCTION("""COMPUTED_VALUE"""),"50m liikuv H4")</f>
        <v>50m liikuv H4</v>
      </c>
      <c r="E24" s="6" t="str">
        <f ca="1">IFERROR(__xludf.DUMMYFUNCTION("""COMPUTED_VALUE"""),"Individuaalne")</f>
        <v>Individuaalne</v>
      </c>
      <c r="F24" s="6" t="str">
        <f ca="1">IFERROR(__xludf.DUMMYFUNCTION("""COMPUTED_VALUE"""),"09.09.23")</f>
        <v>09.09.23</v>
      </c>
      <c r="G24" s="6">
        <f ca="1">IFERROR(__xludf.DUMMYFUNCTION("""COMPUTED_VALUE"""),83)</f>
        <v>83</v>
      </c>
      <c r="H24" s="6">
        <f ca="1">IFERROR(__xludf.DUMMYFUNCTION("""COMPUTED_VALUE"""),74)</f>
        <v>74</v>
      </c>
      <c r="I24" s="6"/>
      <c r="J24" s="6"/>
      <c r="K24" s="6"/>
      <c r="L24" s="6"/>
      <c r="M24" s="6">
        <f ca="1">IFERROR(__xludf.DUMMYFUNCTION("""COMPUTED_VALUE"""),157)</f>
        <v>157</v>
      </c>
      <c r="N24" s="6"/>
    </row>
    <row r="25" spans="1:14" ht="12.75">
      <c r="A25" s="6" t="str">
        <f ca="1">IFERROR(__xludf.DUMMYFUNCTION("""COMPUTED_VALUE"""),"Ain Nurmla")</f>
        <v>Ain Nurmla</v>
      </c>
      <c r="B25" s="6" t="str">
        <f ca="1">IFERROR(__xludf.DUMMYFUNCTION("""COMPUTED_VALUE"""),"Valgamaa")</f>
        <v>Valgamaa</v>
      </c>
      <c r="C25" s="6" t="str">
        <f ca="1">IFERROR(__xludf.DUMMYFUNCTION("""COMPUTED_VALUE"""),"M")</f>
        <v>M</v>
      </c>
      <c r="D25" s="6" t="str">
        <f ca="1">IFERROR(__xludf.DUMMYFUNCTION("""COMPUTED_VALUE"""),"50m liikuv H4")</f>
        <v>50m liikuv H4</v>
      </c>
      <c r="E25" s="6" t="str">
        <f ca="1">IFERROR(__xludf.DUMMYFUNCTION("""COMPUTED_VALUE"""),"Võistkond")</f>
        <v>Võistkond</v>
      </c>
      <c r="F25" s="6" t="str">
        <f ca="1">IFERROR(__xludf.DUMMYFUNCTION("""COMPUTED_VALUE"""),"09.09.23")</f>
        <v>09.09.23</v>
      </c>
      <c r="G25" s="6">
        <f ca="1">IFERROR(__xludf.DUMMYFUNCTION("""COMPUTED_VALUE"""),68)</f>
        <v>68</v>
      </c>
      <c r="H25" s="6">
        <f ca="1">IFERROR(__xludf.DUMMYFUNCTION("""COMPUTED_VALUE"""),65)</f>
        <v>65</v>
      </c>
      <c r="I25" s="6"/>
      <c r="J25" s="6"/>
      <c r="K25" s="6"/>
      <c r="L25" s="6"/>
      <c r="M25" s="6">
        <f ca="1">IFERROR(__xludf.DUMMYFUNCTION("""COMPUTED_VALUE"""),133)</f>
        <v>133</v>
      </c>
      <c r="N25" s="6">
        <f ca="1">IFERROR(__xludf.DUMMYFUNCTION("""COMPUTED_VALUE"""),199.5)</f>
        <v>199.5</v>
      </c>
    </row>
    <row r="26" spans="1:14" ht="12.75">
      <c r="A26" s="6" t="str">
        <f ca="1">IFERROR(__xludf.DUMMYFUNCTION("""COMPUTED_VALUE"""),"Kristjan Raudnagel")</f>
        <v>Kristjan Raudnagel</v>
      </c>
      <c r="B26" s="6" t="str">
        <f ca="1">IFERROR(__xludf.DUMMYFUNCTION("""COMPUTED_VALUE"""),"Põlva")</f>
        <v>Põlva</v>
      </c>
      <c r="C26" s="6" t="str">
        <f ca="1">IFERROR(__xludf.DUMMYFUNCTION("""COMPUTED_VALUE"""),"M")</f>
        <v>M</v>
      </c>
      <c r="D26" s="6" t="str">
        <f ca="1">IFERROR(__xludf.DUMMYFUNCTION("""COMPUTED_VALUE"""),"50m liikuv H4")</f>
        <v>50m liikuv H4</v>
      </c>
      <c r="E26" s="6" t="str">
        <f ca="1">IFERROR(__xludf.DUMMYFUNCTION("""COMPUTED_VALUE"""),"Võistkond")</f>
        <v>Võistkond</v>
      </c>
      <c r="F26" s="6" t="str">
        <f ca="1">IFERROR(__xludf.DUMMYFUNCTION("""COMPUTED_VALUE"""),"10.09.23")</f>
        <v>10.09.23</v>
      </c>
      <c r="G26" s="6">
        <f ca="1">IFERROR(__xludf.DUMMYFUNCTION("""COMPUTED_VALUE"""),67)</f>
        <v>67</v>
      </c>
      <c r="H26" s="6">
        <f ca="1">IFERROR(__xludf.DUMMYFUNCTION("""COMPUTED_VALUE"""),62)</f>
        <v>62</v>
      </c>
      <c r="I26" s="6"/>
      <c r="J26" s="6"/>
      <c r="K26" s="6"/>
      <c r="L26" s="6"/>
      <c r="M26" s="6">
        <f ca="1">IFERROR(__xludf.DUMMYFUNCTION("""COMPUTED_VALUE"""),129)</f>
        <v>129</v>
      </c>
      <c r="N26" s="6">
        <f ca="1">IFERROR(__xludf.DUMMYFUNCTION("""COMPUTED_VALUE"""),193.5)</f>
        <v>193.5</v>
      </c>
    </row>
    <row r="27" spans="1:14" ht="12.75">
      <c r="A27" s="6" t="str">
        <f ca="1">IFERROR(__xludf.DUMMYFUNCTION("""COMPUTED_VALUE"""),"Sören Silm")</f>
        <v>Sören Silm</v>
      </c>
      <c r="B27" s="6" t="str">
        <f ca="1">IFERROR(__xludf.DUMMYFUNCTION("""COMPUTED_VALUE"""),"Sakala")</f>
        <v>Sakala</v>
      </c>
      <c r="C27" s="6" t="str">
        <f ca="1">IFERROR(__xludf.DUMMYFUNCTION("""COMPUTED_VALUE"""),"M")</f>
        <v>M</v>
      </c>
      <c r="D27" s="6" t="str">
        <f ca="1">IFERROR(__xludf.DUMMYFUNCTION("""COMPUTED_VALUE"""),"50m liikuv H4")</f>
        <v>50m liikuv H4</v>
      </c>
      <c r="E27" s="6" t="str">
        <f ca="1">IFERROR(__xludf.DUMMYFUNCTION("""COMPUTED_VALUE"""),"Individuaalne")</f>
        <v>Individuaalne</v>
      </c>
      <c r="F27" s="6" t="str">
        <f ca="1">IFERROR(__xludf.DUMMYFUNCTION("""COMPUTED_VALUE"""),"10.09.23")</f>
        <v>10.09.23</v>
      </c>
      <c r="G27" s="6">
        <f ca="1">IFERROR(__xludf.DUMMYFUNCTION("""COMPUTED_VALUE"""),47)</f>
        <v>47</v>
      </c>
      <c r="H27" s="6">
        <f ca="1">IFERROR(__xludf.DUMMYFUNCTION("""COMPUTED_VALUE"""),56)</f>
        <v>56</v>
      </c>
      <c r="I27" s="6"/>
      <c r="J27" s="6"/>
      <c r="K27" s="6"/>
      <c r="L27" s="6"/>
      <c r="M27" s="6">
        <f ca="1">IFERROR(__xludf.DUMMYFUNCTION("""COMPUTED_VALUE"""),103)</f>
        <v>103</v>
      </c>
      <c r="N27" s="6"/>
    </row>
    <row r="28" spans="1:14" ht="12.75">
      <c r="A28" s="6" t="str">
        <f ca="1">IFERROR(__xludf.DUMMYFUNCTION("""COMPUTED_VALUE"""),"Andrus Keerd")</f>
        <v>Andrus Keerd</v>
      </c>
      <c r="B28" s="6" t="str">
        <f ca="1">IFERROR(__xludf.DUMMYFUNCTION("""COMPUTED_VALUE"""),"Sakala")</f>
        <v>Sakala</v>
      </c>
      <c r="C28" s="6" t="str">
        <f ca="1">IFERROR(__xludf.DUMMYFUNCTION("""COMPUTED_VALUE"""),"M")</f>
        <v>M</v>
      </c>
      <c r="D28" s="6" t="str">
        <f ca="1">IFERROR(__xludf.DUMMYFUNCTION("""COMPUTED_VALUE"""),"50m liikuv H4")</f>
        <v>50m liikuv H4</v>
      </c>
      <c r="E28" s="6" t="str">
        <f ca="1">IFERROR(__xludf.DUMMYFUNCTION("""COMPUTED_VALUE"""),"Võistkond")</f>
        <v>Võistkond</v>
      </c>
      <c r="F28" s="6" t="str">
        <f ca="1">IFERROR(__xludf.DUMMYFUNCTION("""COMPUTED_VALUE"""),"10.09.23")</f>
        <v>10.09.23</v>
      </c>
      <c r="G28" s="6">
        <f ca="1">IFERROR(__xludf.DUMMYFUNCTION("""COMPUTED_VALUE"""),37)</f>
        <v>37</v>
      </c>
      <c r="H28" s="6">
        <f ca="1">IFERROR(__xludf.DUMMYFUNCTION("""COMPUTED_VALUE"""),62)</f>
        <v>62</v>
      </c>
      <c r="I28" s="6"/>
      <c r="J28" s="6"/>
      <c r="K28" s="6"/>
      <c r="L28" s="6"/>
      <c r="M28" s="6">
        <f ca="1">IFERROR(__xludf.DUMMYFUNCTION("""COMPUTED_VALUE"""),99)</f>
        <v>99</v>
      </c>
      <c r="N28" s="6">
        <f ca="1">IFERROR(__xludf.DUMMYFUNCTION("""COMPUTED_VALUE"""),148.5)</f>
        <v>148.5</v>
      </c>
    </row>
  </sheetData>
  <mergeCells count="1">
    <mergeCell ref="C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4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5703125" defaultRowHeight="15.75" customHeight="1"/>
  <cols>
    <col min="1" max="1" width="19.42578125" customWidth="1"/>
    <col min="4" max="4" width="9.28515625" customWidth="1"/>
    <col min="6" max="6" width="7.140625" customWidth="1"/>
    <col min="7" max="12" width="7.85546875" customWidth="1"/>
    <col min="13" max="14" width="7.5703125" customWidth="1"/>
    <col min="15" max="16" width="8.5703125" customWidth="1"/>
  </cols>
  <sheetData>
    <row r="1" spans="1:26" ht="42.75" customHeight="1">
      <c r="A1" s="8" t="s">
        <v>10</v>
      </c>
      <c r="B1" s="8"/>
      <c r="C1" s="27" t="s">
        <v>37</v>
      </c>
      <c r="D1" s="28"/>
      <c r="E1" s="8"/>
      <c r="F1" s="8"/>
      <c r="G1" s="8"/>
      <c r="H1" s="8"/>
      <c r="I1" s="29" t="s">
        <v>38</v>
      </c>
      <c r="J1" s="28"/>
      <c r="K1" s="28"/>
      <c r="L1" s="28"/>
      <c r="M1" s="28"/>
      <c r="N1" s="28"/>
      <c r="O1" s="2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8.25">
      <c r="A2" s="1" t="str">
        <f ca="1">IFERROR(__xludf.DUMMYFUNCTION("QUERY(Päised)"),"Nimi")</f>
        <v>Nimi</v>
      </c>
      <c r="B2" s="1" t="str">
        <f ca="1">IFERROR(__xludf.DUMMYFUNCTION("""COMPUTED_VALUE"""),"Malev")</f>
        <v>Malev</v>
      </c>
      <c r="C2" s="1" t="str">
        <f ca="1">IFERROR(__xludf.DUMMYFUNCTION("""COMPUTED_VALUE"""),"Võistlusklass")</f>
        <v>Võistlusklass</v>
      </c>
      <c r="D2" s="1" t="str">
        <f ca="1">IFERROR(__xludf.DUMMYFUNCTION("""COMPUTED_VALUE"""),"VÕISTLUSALA")</f>
        <v>VÕISTLUSALA</v>
      </c>
      <c r="E2" s="1" t="str">
        <f ca="1">IFERROR(__xludf.DUMMYFUNCTION("""COMPUTED_VALUE"""),"Kuidas võistleb")</f>
        <v>Kuidas võistleb</v>
      </c>
      <c r="F2" s="1" t="str">
        <f ca="1">IFERROR(__xludf.DUMMYFUNCTION("""COMPUTED_VALUE"""),"Võistluspäev")</f>
        <v>Võistluspäev</v>
      </c>
      <c r="G2" s="1" t="str">
        <f ca="1">IFERROR(__xludf.DUMMYFUNCTION("""COMPUTED_VALUE"""),"1. seeria")</f>
        <v>1. seeria</v>
      </c>
      <c r="H2" s="1" t="str">
        <f ca="1">IFERROR(__xludf.DUMMYFUNCTION("""COMPUTED_VALUE"""),"2. seeria")</f>
        <v>2. seeria</v>
      </c>
      <c r="I2" s="1" t="str">
        <f ca="1">IFERROR(__xludf.DUMMYFUNCTION("""COMPUTED_VALUE"""),"3. seeria")</f>
        <v>3. seeria</v>
      </c>
      <c r="J2" s="1" t="str">
        <f ca="1">IFERROR(__xludf.DUMMYFUNCTION("""COMPUTED_VALUE"""),"4. seeria")</f>
        <v>4. seeria</v>
      </c>
      <c r="K2" s="1" t="str">
        <f ca="1">IFERROR(__xludf.DUMMYFUNCTION("""COMPUTED_VALUE"""),"5. seeria")</f>
        <v>5. seeria</v>
      </c>
      <c r="L2" s="1" t="str">
        <f ca="1">IFERROR(__xludf.DUMMYFUNCTION("""COMPUTED_VALUE"""),"6. seeria")</f>
        <v>6. seeria</v>
      </c>
      <c r="M2" s="1" t="str">
        <f ca="1">IFERROR(__xludf.DUMMYFUNCTION("""COMPUTED_VALUE"""),"KOKKU")</f>
        <v>KOKKU</v>
      </c>
      <c r="N2" s="1" t="str">
        <f ca="1">IFERROR(__xludf.DUMMYFUNCTION("""COMPUTED_VALUE"""),"VÕISTK KOKKU")</f>
        <v>VÕISTK KOKKU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tr">
        <f ca="1">IFERROR(__xludf.DUMMYFUNCTION("SORT(FILTER(Nimekiri,ALA=A1),13,FALSE,12,fALSE)"),"Anastassia Olewicz")</f>
        <v>Anastassia Olewicz</v>
      </c>
      <c r="B3" s="6" t="str">
        <f ca="1">IFERROR(__xludf.DUMMYFUNCTION("""COMPUTED_VALUE"""),"Alutaguse")</f>
        <v>Alutaguse</v>
      </c>
      <c r="C3" s="6" t="str">
        <f ca="1">IFERROR(__xludf.DUMMYFUNCTION("""COMPUTED_VALUE"""),"N")</f>
        <v>N</v>
      </c>
      <c r="D3" s="6" t="str">
        <f ca="1">IFERROR(__xludf.DUMMYFUNCTION("""COMPUTED_VALUE"""),"50m 3x20 H6")</f>
        <v>50m 3x20 H6</v>
      </c>
      <c r="E3" s="6" t="str">
        <f ca="1">IFERROR(__xludf.DUMMYFUNCTION("""COMPUTED_VALUE"""),"Võistkond")</f>
        <v>Võistkond</v>
      </c>
      <c r="F3" s="6" t="str">
        <f ca="1">IFERROR(__xludf.DUMMYFUNCTION("""COMPUTED_VALUE"""),"09.09.23")</f>
        <v>09.09.23</v>
      </c>
      <c r="G3" s="6">
        <f ca="1">IFERROR(__xludf.DUMMYFUNCTION("""COMPUTED_VALUE"""),97)</f>
        <v>97</v>
      </c>
      <c r="H3" s="6">
        <f ca="1">IFERROR(__xludf.DUMMYFUNCTION("""COMPUTED_VALUE"""),99)</f>
        <v>99</v>
      </c>
      <c r="I3" s="6">
        <f ca="1">IFERROR(__xludf.DUMMYFUNCTION("""COMPUTED_VALUE"""),100)</f>
        <v>100</v>
      </c>
      <c r="J3" s="6">
        <f ca="1">IFERROR(__xludf.DUMMYFUNCTION("""COMPUTED_VALUE"""),98)</f>
        <v>98</v>
      </c>
      <c r="K3" s="6">
        <f ca="1">IFERROR(__xludf.DUMMYFUNCTION("""COMPUTED_VALUE"""),95)</f>
        <v>95</v>
      </c>
      <c r="L3" s="6">
        <f ca="1">IFERROR(__xludf.DUMMYFUNCTION("""COMPUTED_VALUE"""),97)</f>
        <v>97</v>
      </c>
      <c r="M3" s="6">
        <f ca="1">IFERROR(__xludf.DUMMYFUNCTION("""COMPUTED_VALUE"""),586)</f>
        <v>586</v>
      </c>
      <c r="N3" s="6">
        <f ca="1">IFERROR(__xludf.DUMMYFUNCTION("""COMPUTED_VALUE"""),293)</f>
        <v>293</v>
      </c>
    </row>
    <row r="4" spans="1:26" ht="12.75">
      <c r="A4" s="6" t="str">
        <f ca="1">IFERROR(__xludf.DUMMYFUNCTION("""COMPUTED_VALUE"""),"Meelis Kiisk")</f>
        <v>Meelis Kiisk</v>
      </c>
      <c r="B4" s="6" t="str">
        <f ca="1">IFERROR(__xludf.DUMMYFUNCTION("""COMPUTED_VALUE"""),"Järva")</f>
        <v>Järva</v>
      </c>
      <c r="C4" s="6" t="str">
        <f ca="1">IFERROR(__xludf.DUMMYFUNCTION("""COMPUTED_VALUE"""),"M")</f>
        <v>M</v>
      </c>
      <c r="D4" s="6" t="str">
        <f ca="1">IFERROR(__xludf.DUMMYFUNCTION("""COMPUTED_VALUE"""),"50m 3x20 H6")</f>
        <v>50m 3x20 H6</v>
      </c>
      <c r="E4" s="6" t="str">
        <f ca="1">IFERROR(__xludf.DUMMYFUNCTION("""COMPUTED_VALUE"""),"Võistkond")</f>
        <v>Võistkond</v>
      </c>
      <c r="F4" s="6" t="str">
        <f ca="1">IFERROR(__xludf.DUMMYFUNCTION("""COMPUTED_VALUE"""),"09.09.23")</f>
        <v>09.09.23</v>
      </c>
      <c r="G4" s="6">
        <f ca="1">IFERROR(__xludf.DUMMYFUNCTION("""COMPUTED_VALUE"""),96)</f>
        <v>96</v>
      </c>
      <c r="H4" s="6">
        <f ca="1">IFERROR(__xludf.DUMMYFUNCTION("""COMPUTED_VALUE"""),96)</f>
        <v>96</v>
      </c>
      <c r="I4" s="6">
        <f ca="1">IFERROR(__xludf.DUMMYFUNCTION("""COMPUTED_VALUE"""),97)</f>
        <v>97</v>
      </c>
      <c r="J4" s="6">
        <f ca="1">IFERROR(__xludf.DUMMYFUNCTION("""COMPUTED_VALUE"""),99)</f>
        <v>99</v>
      </c>
      <c r="K4" s="6">
        <f ca="1">IFERROR(__xludf.DUMMYFUNCTION("""COMPUTED_VALUE"""),97)</f>
        <v>97</v>
      </c>
      <c r="L4" s="6">
        <f ca="1">IFERROR(__xludf.DUMMYFUNCTION("""COMPUTED_VALUE"""),98)</f>
        <v>98</v>
      </c>
      <c r="M4" s="6">
        <f ca="1">IFERROR(__xludf.DUMMYFUNCTION("""COMPUTED_VALUE"""),583)</f>
        <v>583</v>
      </c>
      <c r="N4" s="6">
        <f ca="1">IFERROR(__xludf.DUMMYFUNCTION("""COMPUTED_VALUE"""),291.5)</f>
        <v>291.5</v>
      </c>
    </row>
    <row r="5" spans="1:26" ht="12.75">
      <c r="A5" s="6" t="str">
        <f ca="1">IFERROR(__xludf.DUMMYFUNCTION("""COMPUTED_VALUE"""),"Anžela Voronova")</f>
        <v>Anžela Voronova</v>
      </c>
      <c r="B5" s="6" t="str">
        <f ca="1">IFERROR(__xludf.DUMMYFUNCTION("""COMPUTED_VALUE"""),"Tallinn")</f>
        <v>Tallinn</v>
      </c>
      <c r="C5" s="6" t="str">
        <f ca="1">IFERROR(__xludf.DUMMYFUNCTION("""COMPUTED_VALUE"""),"N")</f>
        <v>N</v>
      </c>
      <c r="D5" s="6" t="str">
        <f ca="1">IFERROR(__xludf.DUMMYFUNCTION("""COMPUTED_VALUE"""),"50m 3x20 H6")</f>
        <v>50m 3x20 H6</v>
      </c>
      <c r="E5" s="6" t="str">
        <f ca="1">IFERROR(__xludf.DUMMYFUNCTION("""COMPUTED_VALUE"""),"Võistkond")</f>
        <v>Võistkond</v>
      </c>
      <c r="F5" s="6" t="str">
        <f ca="1">IFERROR(__xludf.DUMMYFUNCTION("""COMPUTED_VALUE"""),"09.09.23")</f>
        <v>09.09.23</v>
      </c>
      <c r="G5" s="6">
        <f ca="1">IFERROR(__xludf.DUMMYFUNCTION("""COMPUTED_VALUE"""),97)</f>
        <v>97</v>
      </c>
      <c r="H5" s="6">
        <f ca="1">IFERROR(__xludf.DUMMYFUNCTION("""COMPUTED_VALUE"""),96)</f>
        <v>96</v>
      </c>
      <c r="I5" s="6">
        <f ca="1">IFERROR(__xludf.DUMMYFUNCTION("""COMPUTED_VALUE"""),98)</f>
        <v>98</v>
      </c>
      <c r="J5" s="6">
        <f ca="1">IFERROR(__xludf.DUMMYFUNCTION("""COMPUTED_VALUE"""),100)</f>
        <v>100</v>
      </c>
      <c r="K5" s="6">
        <f ca="1">IFERROR(__xludf.DUMMYFUNCTION("""COMPUTED_VALUE"""),94)</f>
        <v>94</v>
      </c>
      <c r="L5" s="6">
        <f ca="1">IFERROR(__xludf.DUMMYFUNCTION("""COMPUTED_VALUE"""),90)</f>
        <v>90</v>
      </c>
      <c r="M5" s="6">
        <f ca="1">IFERROR(__xludf.DUMMYFUNCTION("""COMPUTED_VALUE"""),575)</f>
        <v>575</v>
      </c>
      <c r="N5" s="6">
        <f ca="1">IFERROR(__xludf.DUMMYFUNCTION("""COMPUTED_VALUE"""),287.5)</f>
        <v>287.5</v>
      </c>
    </row>
    <row r="6" spans="1:26" ht="12.75">
      <c r="A6" s="6" t="str">
        <f ca="1">IFERROR(__xludf.DUMMYFUNCTION("""COMPUTED_VALUE"""),"Marianne Tavits")</f>
        <v>Marianne Tavits</v>
      </c>
      <c r="B6" s="6" t="str">
        <f ca="1">IFERROR(__xludf.DUMMYFUNCTION("""COMPUTED_VALUE"""),"Tartu")</f>
        <v>Tartu</v>
      </c>
      <c r="C6" s="6" t="str">
        <f ca="1">IFERROR(__xludf.DUMMYFUNCTION("""COMPUTED_VALUE"""),"N")</f>
        <v>N</v>
      </c>
      <c r="D6" s="6" t="str">
        <f ca="1">IFERROR(__xludf.DUMMYFUNCTION("""COMPUTED_VALUE"""),"50m 3x20 H6")</f>
        <v>50m 3x20 H6</v>
      </c>
      <c r="E6" s="6" t="str">
        <f ca="1">IFERROR(__xludf.DUMMYFUNCTION("""COMPUTED_VALUE"""),"Võistkond")</f>
        <v>Võistkond</v>
      </c>
      <c r="F6" s="6" t="str">
        <f ca="1">IFERROR(__xludf.DUMMYFUNCTION("""COMPUTED_VALUE"""),"10.09.23")</f>
        <v>10.09.23</v>
      </c>
      <c r="G6" s="6">
        <f ca="1">IFERROR(__xludf.DUMMYFUNCTION("""COMPUTED_VALUE"""),95)</f>
        <v>95</v>
      </c>
      <c r="H6" s="6">
        <f ca="1">IFERROR(__xludf.DUMMYFUNCTION("""COMPUTED_VALUE"""),93)</f>
        <v>93</v>
      </c>
      <c r="I6" s="6">
        <f ca="1">IFERROR(__xludf.DUMMYFUNCTION("""COMPUTED_VALUE"""),97)</f>
        <v>97</v>
      </c>
      <c r="J6" s="6">
        <f ca="1">IFERROR(__xludf.DUMMYFUNCTION("""COMPUTED_VALUE"""),99)</f>
        <v>99</v>
      </c>
      <c r="K6" s="6">
        <f ca="1">IFERROR(__xludf.DUMMYFUNCTION("""COMPUTED_VALUE"""),91)</f>
        <v>91</v>
      </c>
      <c r="L6" s="6">
        <f ca="1">IFERROR(__xludf.DUMMYFUNCTION("""COMPUTED_VALUE"""),96)</f>
        <v>96</v>
      </c>
      <c r="M6" s="6">
        <f ca="1">IFERROR(__xludf.DUMMYFUNCTION("""COMPUTED_VALUE"""),571)</f>
        <v>571</v>
      </c>
      <c r="N6" s="6">
        <f ca="1">IFERROR(__xludf.DUMMYFUNCTION("""COMPUTED_VALUE"""),285.5)</f>
        <v>285.5</v>
      </c>
    </row>
    <row r="7" spans="1:26" ht="12.75">
      <c r="A7" s="6" t="str">
        <f ca="1">IFERROR(__xludf.DUMMYFUNCTION("""COMPUTED_VALUE"""),"Lauri Erm")</f>
        <v>Lauri Erm</v>
      </c>
      <c r="B7" s="6" t="str">
        <f ca="1">IFERROR(__xludf.DUMMYFUNCTION("""COMPUTED_VALUE"""),"KKÜ")</f>
        <v>KKÜ</v>
      </c>
      <c r="C7" s="6" t="str">
        <f ca="1">IFERROR(__xludf.DUMMYFUNCTION("""COMPUTED_VALUE"""),"M")</f>
        <v>M</v>
      </c>
      <c r="D7" s="6" t="str">
        <f ca="1">IFERROR(__xludf.DUMMYFUNCTION("""COMPUTED_VALUE"""),"50m 3x20 H6")</f>
        <v>50m 3x20 H6</v>
      </c>
      <c r="E7" s="6" t="str">
        <f ca="1">IFERROR(__xludf.DUMMYFUNCTION("""COMPUTED_VALUE"""),"Võistkond")</f>
        <v>Võistkond</v>
      </c>
      <c r="F7" s="6" t="str">
        <f ca="1">IFERROR(__xludf.DUMMYFUNCTION("""COMPUTED_VALUE"""),"09.09.23")</f>
        <v>09.09.23</v>
      </c>
      <c r="G7" s="6">
        <f ca="1">IFERROR(__xludf.DUMMYFUNCTION("""COMPUTED_VALUE"""),94)</f>
        <v>94</v>
      </c>
      <c r="H7" s="6">
        <f ca="1">IFERROR(__xludf.DUMMYFUNCTION("""COMPUTED_VALUE"""),97)</f>
        <v>97</v>
      </c>
      <c r="I7" s="6">
        <f ca="1">IFERROR(__xludf.DUMMYFUNCTION("""COMPUTED_VALUE"""),96)</f>
        <v>96</v>
      </c>
      <c r="J7" s="6">
        <f ca="1">IFERROR(__xludf.DUMMYFUNCTION("""COMPUTED_VALUE"""),100)</f>
        <v>100</v>
      </c>
      <c r="K7" s="6">
        <f ca="1">IFERROR(__xludf.DUMMYFUNCTION("""COMPUTED_VALUE"""),90)</f>
        <v>90</v>
      </c>
      <c r="L7" s="6">
        <f ca="1">IFERROR(__xludf.DUMMYFUNCTION("""COMPUTED_VALUE"""),94)</f>
        <v>94</v>
      </c>
      <c r="M7" s="6">
        <f ca="1">IFERROR(__xludf.DUMMYFUNCTION("""COMPUTED_VALUE"""),571)</f>
        <v>571</v>
      </c>
      <c r="N7" s="6">
        <f ca="1">IFERROR(__xludf.DUMMYFUNCTION("""COMPUTED_VALUE"""),285.5)</f>
        <v>285.5</v>
      </c>
    </row>
    <row r="8" spans="1:26" ht="12.75">
      <c r="A8" s="6" t="str">
        <f ca="1">IFERROR(__xludf.DUMMYFUNCTION("""COMPUTED_VALUE"""),"Susanna Sule")</f>
        <v>Susanna Sule</v>
      </c>
      <c r="B8" s="6" t="str">
        <f ca="1">IFERROR(__xludf.DUMMYFUNCTION("""COMPUTED_VALUE"""),"Rapla")</f>
        <v>Rapla</v>
      </c>
      <c r="C8" s="6" t="str">
        <f ca="1">IFERROR(__xludf.DUMMYFUNCTION("""COMPUTED_VALUE"""),"N")</f>
        <v>N</v>
      </c>
      <c r="D8" s="6" t="str">
        <f ca="1">IFERROR(__xludf.DUMMYFUNCTION("""COMPUTED_VALUE"""),"50m 3x20 H6")</f>
        <v>50m 3x20 H6</v>
      </c>
      <c r="E8" s="6" t="str">
        <f ca="1">IFERROR(__xludf.DUMMYFUNCTION("""COMPUTED_VALUE"""),"Võistkond")</f>
        <v>Võistkond</v>
      </c>
      <c r="F8" s="6" t="str">
        <f ca="1">IFERROR(__xludf.DUMMYFUNCTION("""COMPUTED_VALUE"""),"10.09.23")</f>
        <v>10.09.23</v>
      </c>
      <c r="G8" s="6">
        <f ca="1">IFERROR(__xludf.DUMMYFUNCTION("""COMPUTED_VALUE"""),96)</f>
        <v>96</v>
      </c>
      <c r="H8" s="6">
        <f ca="1">IFERROR(__xludf.DUMMYFUNCTION("""COMPUTED_VALUE"""),95)</f>
        <v>95</v>
      </c>
      <c r="I8" s="6">
        <f ca="1">IFERROR(__xludf.DUMMYFUNCTION("""COMPUTED_VALUE"""),95)</f>
        <v>95</v>
      </c>
      <c r="J8" s="6">
        <f ca="1">IFERROR(__xludf.DUMMYFUNCTION("""COMPUTED_VALUE"""),96)</f>
        <v>96</v>
      </c>
      <c r="K8" s="6">
        <f ca="1">IFERROR(__xludf.DUMMYFUNCTION("""COMPUTED_VALUE"""),92)</f>
        <v>92</v>
      </c>
      <c r="L8" s="6">
        <f ca="1">IFERROR(__xludf.DUMMYFUNCTION("""COMPUTED_VALUE"""),94)</f>
        <v>94</v>
      </c>
      <c r="M8" s="6">
        <f ca="1">IFERROR(__xludf.DUMMYFUNCTION("""COMPUTED_VALUE"""),568)</f>
        <v>568</v>
      </c>
      <c r="N8" s="6">
        <f ca="1">IFERROR(__xludf.DUMMYFUNCTION("""COMPUTED_VALUE"""),284)</f>
        <v>284</v>
      </c>
    </row>
    <row r="9" spans="1:26" ht="12.75">
      <c r="A9" s="6" t="str">
        <f ca="1">IFERROR(__xludf.DUMMYFUNCTION("""COMPUTED_VALUE"""),"Kahru Männik")</f>
        <v>Kahru Männik</v>
      </c>
      <c r="B9" s="6" t="str">
        <f ca="1">IFERROR(__xludf.DUMMYFUNCTION("""COMPUTED_VALUE"""),"Tartu")</f>
        <v>Tartu</v>
      </c>
      <c r="C9" s="6" t="str">
        <f ca="1">IFERROR(__xludf.DUMMYFUNCTION("""COMPUTED_VALUE"""),"M")</f>
        <v>M</v>
      </c>
      <c r="D9" s="6" t="str">
        <f ca="1">IFERROR(__xludf.DUMMYFUNCTION("""COMPUTED_VALUE"""),"50m 3x20 H6")</f>
        <v>50m 3x20 H6</v>
      </c>
      <c r="E9" s="6" t="str">
        <f ca="1">IFERROR(__xludf.DUMMYFUNCTION("""COMPUTED_VALUE"""),"Võistkond")</f>
        <v>Võistkond</v>
      </c>
      <c r="F9" s="6" t="str">
        <f ca="1">IFERROR(__xludf.DUMMYFUNCTION("""COMPUTED_VALUE"""),"10.09.23")</f>
        <v>10.09.23</v>
      </c>
      <c r="G9" s="6">
        <f ca="1">IFERROR(__xludf.DUMMYFUNCTION("""COMPUTED_VALUE"""),96)</f>
        <v>96</v>
      </c>
      <c r="H9" s="6">
        <f ca="1">IFERROR(__xludf.DUMMYFUNCTION("""COMPUTED_VALUE"""),97)</f>
        <v>97</v>
      </c>
      <c r="I9" s="6">
        <f ca="1">IFERROR(__xludf.DUMMYFUNCTION("""COMPUTED_VALUE"""),99)</f>
        <v>99</v>
      </c>
      <c r="J9" s="6">
        <f ca="1">IFERROR(__xludf.DUMMYFUNCTION("""COMPUTED_VALUE"""),98)</f>
        <v>98</v>
      </c>
      <c r="K9" s="6">
        <f ca="1">IFERROR(__xludf.DUMMYFUNCTION("""COMPUTED_VALUE"""),89)</f>
        <v>89</v>
      </c>
      <c r="L9" s="6">
        <f ca="1">IFERROR(__xludf.DUMMYFUNCTION("""COMPUTED_VALUE"""),86)</f>
        <v>86</v>
      </c>
      <c r="M9" s="6">
        <f ca="1">IFERROR(__xludf.DUMMYFUNCTION("""COMPUTED_VALUE"""),565)</f>
        <v>565</v>
      </c>
      <c r="N9" s="6">
        <f ca="1">IFERROR(__xludf.DUMMYFUNCTION("""COMPUTED_VALUE"""),282.5)</f>
        <v>282.5</v>
      </c>
    </row>
    <row r="10" spans="1:26" ht="12.75">
      <c r="A10" s="6" t="str">
        <f ca="1">IFERROR(__xludf.DUMMYFUNCTION("""COMPUTED_VALUE"""),"Ksenia Ivanova")</f>
        <v>Ksenia Ivanova</v>
      </c>
      <c r="B10" s="6" t="str">
        <f ca="1">IFERROR(__xludf.DUMMYFUNCTION("""COMPUTED_VALUE"""),"Alutaguse")</f>
        <v>Alutaguse</v>
      </c>
      <c r="C10" s="6" t="str">
        <f ca="1">IFERROR(__xludf.DUMMYFUNCTION("""COMPUTED_VALUE"""),"NJ")</f>
        <v>NJ</v>
      </c>
      <c r="D10" s="6" t="str">
        <f ca="1">IFERROR(__xludf.DUMMYFUNCTION("""COMPUTED_VALUE"""),"50m 3x20 H6")</f>
        <v>50m 3x20 H6</v>
      </c>
      <c r="E10" s="6" t="str">
        <f ca="1">IFERROR(__xludf.DUMMYFUNCTION("""COMPUTED_VALUE"""),"Võistkond")</f>
        <v>Võistkond</v>
      </c>
      <c r="F10" s="6" t="str">
        <f ca="1">IFERROR(__xludf.DUMMYFUNCTION("""COMPUTED_VALUE"""),"09.09.23")</f>
        <v>09.09.23</v>
      </c>
      <c r="G10" s="6">
        <f ca="1">IFERROR(__xludf.DUMMYFUNCTION("""COMPUTED_VALUE"""),93)</f>
        <v>93</v>
      </c>
      <c r="H10" s="6">
        <f ca="1">IFERROR(__xludf.DUMMYFUNCTION("""COMPUTED_VALUE"""),96)</f>
        <v>96</v>
      </c>
      <c r="I10" s="6">
        <f ca="1">IFERROR(__xludf.DUMMYFUNCTION("""COMPUTED_VALUE"""),96)</f>
        <v>96</v>
      </c>
      <c r="J10" s="6">
        <f ca="1">IFERROR(__xludf.DUMMYFUNCTION("""COMPUTED_VALUE"""),93)</f>
        <v>93</v>
      </c>
      <c r="K10" s="6">
        <f ca="1">IFERROR(__xludf.DUMMYFUNCTION("""COMPUTED_VALUE"""),91)</f>
        <v>91</v>
      </c>
      <c r="L10" s="6">
        <f ca="1">IFERROR(__xludf.DUMMYFUNCTION("""COMPUTED_VALUE"""),94)</f>
        <v>94</v>
      </c>
      <c r="M10" s="6">
        <f ca="1">IFERROR(__xludf.DUMMYFUNCTION("""COMPUTED_VALUE"""),563)</f>
        <v>563</v>
      </c>
      <c r="N10" s="6">
        <f ca="1">IFERROR(__xludf.DUMMYFUNCTION("""COMPUTED_VALUE"""),281.5)</f>
        <v>281.5</v>
      </c>
    </row>
    <row r="11" spans="1:26" ht="12.75">
      <c r="A11" s="6" t="str">
        <f ca="1">IFERROR(__xludf.DUMMYFUNCTION("""COMPUTED_VALUE"""),"Vladislav Lušin")</f>
        <v>Vladislav Lušin</v>
      </c>
      <c r="B11" s="6" t="str">
        <f ca="1">IFERROR(__xludf.DUMMYFUNCTION("""COMPUTED_VALUE"""),"Alutaguse")</f>
        <v>Alutaguse</v>
      </c>
      <c r="C11" s="6" t="str">
        <f ca="1">IFERROR(__xludf.DUMMYFUNCTION("""COMPUTED_VALUE"""),"M")</f>
        <v>M</v>
      </c>
      <c r="D11" s="6" t="str">
        <f ca="1">IFERROR(__xludf.DUMMYFUNCTION("""COMPUTED_VALUE"""),"50m 3x20 H6")</f>
        <v>50m 3x20 H6</v>
      </c>
      <c r="E11" s="6" t="str">
        <f ca="1">IFERROR(__xludf.DUMMYFUNCTION("""COMPUTED_VALUE"""),"Võistkond")</f>
        <v>Võistkond</v>
      </c>
      <c r="F11" s="6" t="str">
        <f ca="1">IFERROR(__xludf.DUMMYFUNCTION("""COMPUTED_VALUE"""),"09.09.23")</f>
        <v>09.09.23</v>
      </c>
      <c r="G11" s="6">
        <f ca="1">IFERROR(__xludf.DUMMYFUNCTION("""COMPUTED_VALUE"""),96)</f>
        <v>96</v>
      </c>
      <c r="H11" s="6">
        <f ca="1">IFERROR(__xludf.DUMMYFUNCTION("""COMPUTED_VALUE"""),95)</f>
        <v>95</v>
      </c>
      <c r="I11" s="6">
        <f ca="1">IFERROR(__xludf.DUMMYFUNCTION("""COMPUTED_VALUE"""),97)</f>
        <v>97</v>
      </c>
      <c r="J11" s="6">
        <f ca="1">IFERROR(__xludf.DUMMYFUNCTION("""COMPUTED_VALUE"""),95)</f>
        <v>95</v>
      </c>
      <c r="K11" s="6">
        <f ca="1">IFERROR(__xludf.DUMMYFUNCTION("""COMPUTED_VALUE"""),91)</f>
        <v>91</v>
      </c>
      <c r="L11" s="6">
        <f ca="1">IFERROR(__xludf.DUMMYFUNCTION("""COMPUTED_VALUE"""),88)</f>
        <v>88</v>
      </c>
      <c r="M11" s="6">
        <f ca="1">IFERROR(__xludf.DUMMYFUNCTION("""COMPUTED_VALUE"""),562)</f>
        <v>562</v>
      </c>
      <c r="N11" s="6">
        <f ca="1">IFERROR(__xludf.DUMMYFUNCTION("""COMPUTED_VALUE"""),281)</f>
        <v>281</v>
      </c>
    </row>
    <row r="12" spans="1:26" ht="12.75">
      <c r="A12" s="6" t="str">
        <f ca="1">IFERROR(__xludf.DUMMYFUNCTION("""COMPUTED_VALUE"""),"Kristina Mölder")</f>
        <v>Kristina Mölder</v>
      </c>
      <c r="B12" s="6" t="str">
        <f ca="1">IFERROR(__xludf.DUMMYFUNCTION("""COMPUTED_VALUE"""),"Tartu")</f>
        <v>Tartu</v>
      </c>
      <c r="C12" s="6" t="str">
        <f ca="1">IFERROR(__xludf.DUMMYFUNCTION("""COMPUTED_VALUE"""),"NJ")</f>
        <v>NJ</v>
      </c>
      <c r="D12" s="6" t="str">
        <f ca="1">IFERROR(__xludf.DUMMYFUNCTION("""COMPUTED_VALUE"""),"50m 3x20 H6")</f>
        <v>50m 3x20 H6</v>
      </c>
      <c r="E12" s="6" t="str">
        <f ca="1">IFERROR(__xludf.DUMMYFUNCTION("""COMPUTED_VALUE"""),"Võistkond")</f>
        <v>Võistkond</v>
      </c>
      <c r="F12" s="6" t="str">
        <f ca="1">IFERROR(__xludf.DUMMYFUNCTION("""COMPUTED_VALUE"""),"10.09.23")</f>
        <v>10.09.23</v>
      </c>
      <c r="G12" s="6">
        <f ca="1">IFERROR(__xludf.DUMMYFUNCTION("""COMPUTED_VALUE"""),95)</f>
        <v>95</v>
      </c>
      <c r="H12" s="6">
        <f ca="1">IFERROR(__xludf.DUMMYFUNCTION("""COMPUTED_VALUE"""),98)</f>
        <v>98</v>
      </c>
      <c r="I12" s="6">
        <f ca="1">IFERROR(__xludf.DUMMYFUNCTION("""COMPUTED_VALUE"""),98)</f>
        <v>98</v>
      </c>
      <c r="J12" s="6">
        <f ca="1">IFERROR(__xludf.DUMMYFUNCTION("""COMPUTED_VALUE"""),90)</f>
        <v>90</v>
      </c>
      <c r="K12" s="6">
        <f ca="1">IFERROR(__xludf.DUMMYFUNCTION("""COMPUTED_VALUE"""),87)</f>
        <v>87</v>
      </c>
      <c r="L12" s="6">
        <f ca="1">IFERROR(__xludf.DUMMYFUNCTION("""COMPUTED_VALUE"""),93)</f>
        <v>93</v>
      </c>
      <c r="M12" s="6">
        <f ca="1">IFERROR(__xludf.DUMMYFUNCTION("""COMPUTED_VALUE"""),561)</f>
        <v>561</v>
      </c>
      <c r="N12" s="6">
        <f ca="1">IFERROR(__xludf.DUMMYFUNCTION("""COMPUTED_VALUE"""),280.5)</f>
        <v>280.5</v>
      </c>
    </row>
    <row r="13" spans="1:26" ht="12.75">
      <c r="A13" s="6" t="str">
        <f ca="1">IFERROR(__xludf.DUMMYFUNCTION("""COMPUTED_VALUE"""),"Ljudmila Kortšagina")</f>
        <v>Ljudmila Kortšagina</v>
      </c>
      <c r="B13" s="6" t="str">
        <f ca="1">IFERROR(__xludf.DUMMYFUNCTION("""COMPUTED_VALUE"""),"Tallinn")</f>
        <v>Tallinn</v>
      </c>
      <c r="C13" s="6" t="str">
        <f ca="1">IFERROR(__xludf.DUMMYFUNCTION("""COMPUTED_VALUE"""),"N")</f>
        <v>N</v>
      </c>
      <c r="D13" s="6" t="str">
        <f ca="1">IFERROR(__xludf.DUMMYFUNCTION("""COMPUTED_VALUE"""),"50m 3x20 H6")</f>
        <v>50m 3x20 H6</v>
      </c>
      <c r="E13" s="6" t="str">
        <f ca="1">IFERROR(__xludf.DUMMYFUNCTION("""COMPUTED_VALUE"""),"Individuaalne")</f>
        <v>Individuaalne</v>
      </c>
      <c r="F13" s="6" t="str">
        <f ca="1">IFERROR(__xludf.DUMMYFUNCTION("""COMPUTED_VALUE"""),"09.09.23")</f>
        <v>09.09.23</v>
      </c>
      <c r="G13" s="6">
        <f ca="1">IFERROR(__xludf.DUMMYFUNCTION("""COMPUTED_VALUE"""),94)</f>
        <v>94</v>
      </c>
      <c r="H13" s="6">
        <f ca="1">IFERROR(__xludf.DUMMYFUNCTION("""COMPUTED_VALUE"""),98)</f>
        <v>98</v>
      </c>
      <c r="I13" s="6">
        <f ca="1">IFERROR(__xludf.DUMMYFUNCTION("""COMPUTED_VALUE"""),96)</f>
        <v>96</v>
      </c>
      <c r="J13" s="6">
        <f ca="1">IFERROR(__xludf.DUMMYFUNCTION("""COMPUTED_VALUE"""),98)</f>
        <v>98</v>
      </c>
      <c r="K13" s="6">
        <f ca="1">IFERROR(__xludf.DUMMYFUNCTION("""COMPUTED_VALUE"""),89)</f>
        <v>89</v>
      </c>
      <c r="L13" s="6">
        <f ca="1">IFERROR(__xludf.DUMMYFUNCTION("""COMPUTED_VALUE"""),85)</f>
        <v>85</v>
      </c>
      <c r="M13" s="6">
        <f ca="1">IFERROR(__xludf.DUMMYFUNCTION("""COMPUTED_VALUE"""),560)</f>
        <v>560</v>
      </c>
      <c r="N13" s="6"/>
    </row>
    <row r="14" spans="1:26" ht="12.75">
      <c r="A14" s="6" t="str">
        <f ca="1">IFERROR(__xludf.DUMMYFUNCTION("""COMPUTED_VALUE"""),"Karina Kotkas")</f>
        <v>Karina Kotkas</v>
      </c>
      <c r="B14" s="6" t="str">
        <f ca="1">IFERROR(__xludf.DUMMYFUNCTION("""COMPUTED_VALUE"""),"Pärnumaa")</f>
        <v>Pärnumaa</v>
      </c>
      <c r="C14" s="6" t="str">
        <f ca="1">IFERROR(__xludf.DUMMYFUNCTION("""COMPUTED_VALUE"""),"N")</f>
        <v>N</v>
      </c>
      <c r="D14" s="6" t="str">
        <f ca="1">IFERROR(__xludf.DUMMYFUNCTION("""COMPUTED_VALUE"""),"50m 3x20 H6")</f>
        <v>50m 3x20 H6</v>
      </c>
      <c r="E14" s="6" t="str">
        <f ca="1">IFERROR(__xludf.DUMMYFUNCTION("""COMPUTED_VALUE"""),"Võistkond")</f>
        <v>Võistkond</v>
      </c>
      <c r="F14" s="6" t="str">
        <f ca="1">IFERROR(__xludf.DUMMYFUNCTION("""COMPUTED_VALUE"""),"09.09.23")</f>
        <v>09.09.23</v>
      </c>
      <c r="G14" s="6">
        <f ca="1">IFERROR(__xludf.DUMMYFUNCTION("""COMPUTED_VALUE"""),93)</f>
        <v>93</v>
      </c>
      <c r="H14" s="6">
        <f ca="1">IFERROR(__xludf.DUMMYFUNCTION("""COMPUTED_VALUE"""),90)</f>
        <v>90</v>
      </c>
      <c r="I14" s="6">
        <f ca="1">IFERROR(__xludf.DUMMYFUNCTION("""COMPUTED_VALUE"""),98)</f>
        <v>98</v>
      </c>
      <c r="J14" s="6">
        <f ca="1">IFERROR(__xludf.DUMMYFUNCTION("""COMPUTED_VALUE"""),95)</f>
        <v>95</v>
      </c>
      <c r="K14" s="6">
        <f ca="1">IFERROR(__xludf.DUMMYFUNCTION("""COMPUTED_VALUE"""),89)</f>
        <v>89</v>
      </c>
      <c r="L14" s="6">
        <f ca="1">IFERROR(__xludf.DUMMYFUNCTION("""COMPUTED_VALUE"""),92)</f>
        <v>92</v>
      </c>
      <c r="M14" s="6">
        <f ca="1">IFERROR(__xludf.DUMMYFUNCTION("""COMPUTED_VALUE"""),557)</f>
        <v>557</v>
      </c>
      <c r="N14" s="6">
        <f ca="1">IFERROR(__xludf.DUMMYFUNCTION("""COMPUTED_VALUE"""),278.5)</f>
        <v>278.5</v>
      </c>
    </row>
    <row r="15" spans="1:26" ht="12.75">
      <c r="A15" s="6" t="str">
        <f ca="1">IFERROR(__xludf.DUMMYFUNCTION("""COMPUTED_VALUE"""),"Marta Pauliine Mihkelson")</f>
        <v>Marta Pauliine Mihkelson</v>
      </c>
      <c r="B15" s="6" t="str">
        <f ca="1">IFERROR(__xludf.DUMMYFUNCTION("""COMPUTED_VALUE"""),"Pärnumaa")</f>
        <v>Pärnumaa</v>
      </c>
      <c r="C15" s="6" t="str">
        <f ca="1">IFERROR(__xludf.DUMMYFUNCTION("""COMPUTED_VALUE"""),"NJ")</f>
        <v>NJ</v>
      </c>
      <c r="D15" s="6" t="str">
        <f ca="1">IFERROR(__xludf.DUMMYFUNCTION("""COMPUTED_VALUE"""),"50m 3x20 H6")</f>
        <v>50m 3x20 H6</v>
      </c>
      <c r="E15" s="6" t="str">
        <f ca="1">IFERROR(__xludf.DUMMYFUNCTION("""COMPUTED_VALUE"""),"Võistkond")</f>
        <v>Võistkond</v>
      </c>
      <c r="F15" s="6" t="str">
        <f ca="1">IFERROR(__xludf.DUMMYFUNCTION("""COMPUTED_VALUE"""),"09.09.23")</f>
        <v>09.09.23</v>
      </c>
      <c r="G15" s="6">
        <f ca="1">IFERROR(__xludf.DUMMYFUNCTION("""COMPUTED_VALUE"""),90)</f>
        <v>90</v>
      </c>
      <c r="H15" s="6">
        <f ca="1">IFERROR(__xludf.DUMMYFUNCTION("""COMPUTED_VALUE"""),95)</f>
        <v>95</v>
      </c>
      <c r="I15" s="6">
        <f ca="1">IFERROR(__xludf.DUMMYFUNCTION("""COMPUTED_VALUE"""),94)</f>
        <v>94</v>
      </c>
      <c r="J15" s="6">
        <f ca="1">IFERROR(__xludf.DUMMYFUNCTION("""COMPUTED_VALUE"""),93)</f>
        <v>93</v>
      </c>
      <c r="K15" s="6">
        <f ca="1">IFERROR(__xludf.DUMMYFUNCTION("""COMPUTED_VALUE"""),92)</f>
        <v>92</v>
      </c>
      <c r="L15" s="6">
        <f ca="1">IFERROR(__xludf.DUMMYFUNCTION("""COMPUTED_VALUE"""),91)</f>
        <v>91</v>
      </c>
      <c r="M15" s="6">
        <f ca="1">IFERROR(__xludf.DUMMYFUNCTION("""COMPUTED_VALUE"""),555)</f>
        <v>555</v>
      </c>
      <c r="N15" s="6">
        <f ca="1">IFERROR(__xludf.DUMMYFUNCTION("""COMPUTED_VALUE"""),277.5)</f>
        <v>277.5</v>
      </c>
    </row>
    <row r="16" spans="1:26" ht="12.75">
      <c r="A16" s="6" t="str">
        <f ca="1">IFERROR(__xludf.DUMMYFUNCTION("""COMPUTED_VALUE"""),"Ain Muru")</f>
        <v>Ain Muru</v>
      </c>
      <c r="B16" s="6" t="str">
        <f ca="1">IFERROR(__xludf.DUMMYFUNCTION("""COMPUTED_VALUE"""),"Tallinn")</f>
        <v>Tallinn</v>
      </c>
      <c r="C16" s="6" t="str">
        <f ca="1">IFERROR(__xludf.DUMMYFUNCTION("""COMPUTED_VALUE"""),"M")</f>
        <v>M</v>
      </c>
      <c r="D16" s="6" t="str">
        <f ca="1">IFERROR(__xludf.DUMMYFUNCTION("""COMPUTED_VALUE"""),"50m 3x20 H6")</f>
        <v>50m 3x20 H6</v>
      </c>
      <c r="E16" s="6" t="str">
        <f ca="1">IFERROR(__xludf.DUMMYFUNCTION("""COMPUTED_VALUE"""),"Individuaalne")</f>
        <v>Individuaalne</v>
      </c>
      <c r="F16" s="6" t="str">
        <f ca="1">IFERROR(__xludf.DUMMYFUNCTION("""COMPUTED_VALUE"""),"09.09.23")</f>
        <v>09.09.23</v>
      </c>
      <c r="G16" s="6">
        <f ca="1">IFERROR(__xludf.DUMMYFUNCTION("""COMPUTED_VALUE"""),94)</f>
        <v>94</v>
      </c>
      <c r="H16" s="6">
        <f ca="1">IFERROR(__xludf.DUMMYFUNCTION("""COMPUTED_VALUE"""),91)</f>
        <v>91</v>
      </c>
      <c r="I16" s="6">
        <f ca="1">IFERROR(__xludf.DUMMYFUNCTION("""COMPUTED_VALUE"""),95)</f>
        <v>95</v>
      </c>
      <c r="J16" s="6">
        <f ca="1">IFERROR(__xludf.DUMMYFUNCTION("""COMPUTED_VALUE"""),95)</f>
        <v>95</v>
      </c>
      <c r="K16" s="6">
        <f ca="1">IFERROR(__xludf.DUMMYFUNCTION("""COMPUTED_VALUE"""),90)</f>
        <v>90</v>
      </c>
      <c r="L16" s="6">
        <f ca="1">IFERROR(__xludf.DUMMYFUNCTION("""COMPUTED_VALUE"""),89)</f>
        <v>89</v>
      </c>
      <c r="M16" s="6">
        <f ca="1">IFERROR(__xludf.DUMMYFUNCTION("""COMPUTED_VALUE"""),554)</f>
        <v>554</v>
      </c>
      <c r="N16" s="6"/>
    </row>
    <row r="17" spans="1:14" ht="12.75">
      <c r="A17" s="6" t="str">
        <f ca="1">IFERROR(__xludf.DUMMYFUNCTION("""COMPUTED_VALUE"""),"Kristofer-Jaago Kivari")</f>
        <v>Kristofer-Jaago Kivari</v>
      </c>
      <c r="B17" s="6" t="str">
        <f ca="1">IFERROR(__xludf.DUMMYFUNCTION("""COMPUTED_VALUE"""),"Tartu")</f>
        <v>Tartu</v>
      </c>
      <c r="C17" s="6" t="str">
        <f ca="1">IFERROR(__xludf.DUMMYFUNCTION("""COMPUTED_VALUE"""),"M")</f>
        <v>M</v>
      </c>
      <c r="D17" s="6" t="str">
        <f ca="1">IFERROR(__xludf.DUMMYFUNCTION("""COMPUTED_VALUE"""),"50m 3x20 H6")</f>
        <v>50m 3x20 H6</v>
      </c>
      <c r="E17" s="6" t="str">
        <f ca="1">IFERROR(__xludf.DUMMYFUNCTION("""COMPUTED_VALUE"""),"Individuaalne")</f>
        <v>Individuaalne</v>
      </c>
      <c r="F17" s="6" t="str">
        <f ca="1">IFERROR(__xludf.DUMMYFUNCTION("""COMPUTED_VALUE"""),"10.09.23")</f>
        <v>10.09.23</v>
      </c>
      <c r="G17" s="6">
        <f ca="1">IFERROR(__xludf.DUMMYFUNCTION("""COMPUTED_VALUE"""),92)</f>
        <v>92</v>
      </c>
      <c r="H17" s="6">
        <f ca="1">IFERROR(__xludf.DUMMYFUNCTION("""COMPUTED_VALUE"""),92)</f>
        <v>92</v>
      </c>
      <c r="I17" s="6">
        <f ca="1">IFERROR(__xludf.DUMMYFUNCTION("""COMPUTED_VALUE"""),95)</f>
        <v>95</v>
      </c>
      <c r="J17" s="6">
        <f ca="1">IFERROR(__xludf.DUMMYFUNCTION("""COMPUTED_VALUE"""),96)</f>
        <v>96</v>
      </c>
      <c r="K17" s="6">
        <f ca="1">IFERROR(__xludf.DUMMYFUNCTION("""COMPUTED_VALUE"""),91)</f>
        <v>91</v>
      </c>
      <c r="L17" s="6">
        <f ca="1">IFERROR(__xludf.DUMMYFUNCTION("""COMPUTED_VALUE"""),88)</f>
        <v>88</v>
      </c>
      <c r="M17" s="6">
        <f ca="1">IFERROR(__xludf.DUMMYFUNCTION("""COMPUTED_VALUE"""),554)</f>
        <v>554</v>
      </c>
      <c r="N17" s="6"/>
    </row>
    <row r="18" spans="1:14" ht="12.75">
      <c r="A18" s="6" t="str">
        <f ca="1">IFERROR(__xludf.DUMMYFUNCTION("""COMPUTED_VALUE"""),"Anett Moor")</f>
        <v>Anett Moor</v>
      </c>
      <c r="B18" s="6" t="str">
        <f ca="1">IFERROR(__xludf.DUMMYFUNCTION("""COMPUTED_VALUE"""),"Harju")</f>
        <v>Harju</v>
      </c>
      <c r="C18" s="6" t="str">
        <f ca="1">IFERROR(__xludf.DUMMYFUNCTION("""COMPUTED_VALUE"""),"NJ")</f>
        <v>NJ</v>
      </c>
      <c r="D18" s="6" t="str">
        <f ca="1">IFERROR(__xludf.DUMMYFUNCTION("""COMPUTED_VALUE"""),"50m 3x20 H6")</f>
        <v>50m 3x20 H6</v>
      </c>
      <c r="E18" s="6" t="str">
        <f ca="1">IFERROR(__xludf.DUMMYFUNCTION("""COMPUTED_VALUE"""),"Võistkond")</f>
        <v>Võistkond</v>
      </c>
      <c r="F18" s="6" t="str">
        <f ca="1">IFERROR(__xludf.DUMMYFUNCTION("""COMPUTED_VALUE"""),"10.09.23")</f>
        <v>10.09.23</v>
      </c>
      <c r="G18" s="6">
        <f ca="1">IFERROR(__xludf.DUMMYFUNCTION("""COMPUTED_VALUE"""),90)</f>
        <v>90</v>
      </c>
      <c r="H18" s="6">
        <f ca="1">IFERROR(__xludf.DUMMYFUNCTION("""COMPUTED_VALUE"""),91)</f>
        <v>91</v>
      </c>
      <c r="I18" s="6">
        <f ca="1">IFERROR(__xludf.DUMMYFUNCTION("""COMPUTED_VALUE"""),94)</f>
        <v>94</v>
      </c>
      <c r="J18" s="6">
        <f ca="1">IFERROR(__xludf.DUMMYFUNCTION("""COMPUTED_VALUE"""),96)</f>
        <v>96</v>
      </c>
      <c r="K18" s="6">
        <f ca="1">IFERROR(__xludf.DUMMYFUNCTION("""COMPUTED_VALUE"""),86)</f>
        <v>86</v>
      </c>
      <c r="L18" s="6">
        <f ca="1">IFERROR(__xludf.DUMMYFUNCTION("""COMPUTED_VALUE"""),92)</f>
        <v>92</v>
      </c>
      <c r="M18" s="6">
        <f ca="1">IFERROR(__xludf.DUMMYFUNCTION("""COMPUTED_VALUE"""),549)</f>
        <v>549</v>
      </c>
      <c r="N18" s="6">
        <f ca="1">IFERROR(__xludf.DUMMYFUNCTION("""COMPUTED_VALUE"""),274.5)</f>
        <v>274.5</v>
      </c>
    </row>
    <row r="19" spans="1:14" ht="12.75">
      <c r="A19" s="6" t="str">
        <f ca="1">IFERROR(__xludf.DUMMYFUNCTION("""COMPUTED_VALUE"""),"Kaur Laurimaa")</f>
        <v>Kaur Laurimaa</v>
      </c>
      <c r="B19" s="6" t="str">
        <f ca="1">IFERROR(__xludf.DUMMYFUNCTION("""COMPUTED_VALUE"""),"Tallinn")</f>
        <v>Tallinn</v>
      </c>
      <c r="C19" s="6" t="str">
        <f ca="1">IFERROR(__xludf.DUMMYFUNCTION("""COMPUTED_VALUE"""),"M")</f>
        <v>M</v>
      </c>
      <c r="D19" s="6" t="str">
        <f ca="1">IFERROR(__xludf.DUMMYFUNCTION("""COMPUTED_VALUE"""),"50m 3x20 H6")</f>
        <v>50m 3x20 H6</v>
      </c>
      <c r="E19" s="6" t="str">
        <f ca="1">IFERROR(__xludf.DUMMYFUNCTION("""COMPUTED_VALUE"""),"Võistkond")</f>
        <v>Võistkond</v>
      </c>
      <c r="F19" s="6" t="str">
        <f ca="1">IFERROR(__xludf.DUMMYFUNCTION("""COMPUTED_VALUE"""),"09.09.23")</f>
        <v>09.09.23</v>
      </c>
      <c r="G19" s="6">
        <f ca="1">IFERROR(__xludf.DUMMYFUNCTION("""COMPUTED_VALUE"""),90)</f>
        <v>90</v>
      </c>
      <c r="H19" s="6">
        <f ca="1">IFERROR(__xludf.DUMMYFUNCTION("""COMPUTED_VALUE"""),91)</f>
        <v>91</v>
      </c>
      <c r="I19" s="6">
        <f ca="1">IFERROR(__xludf.DUMMYFUNCTION("""COMPUTED_VALUE"""),94)</f>
        <v>94</v>
      </c>
      <c r="J19" s="6">
        <f ca="1">IFERROR(__xludf.DUMMYFUNCTION("""COMPUTED_VALUE"""),94)</f>
        <v>94</v>
      </c>
      <c r="K19" s="6">
        <f ca="1">IFERROR(__xludf.DUMMYFUNCTION("""COMPUTED_VALUE"""),89)</f>
        <v>89</v>
      </c>
      <c r="L19" s="6">
        <f ca="1">IFERROR(__xludf.DUMMYFUNCTION("""COMPUTED_VALUE"""),91)</f>
        <v>91</v>
      </c>
      <c r="M19" s="6">
        <f ca="1">IFERROR(__xludf.DUMMYFUNCTION("""COMPUTED_VALUE"""),549)</f>
        <v>549</v>
      </c>
      <c r="N19" s="6">
        <f ca="1">IFERROR(__xludf.DUMMYFUNCTION("""COMPUTED_VALUE"""),274.5)</f>
        <v>274.5</v>
      </c>
    </row>
    <row r="20" spans="1:14" ht="12.75">
      <c r="A20" s="6" t="str">
        <f ca="1">IFERROR(__xludf.DUMMYFUNCTION("""COMPUTED_VALUE"""),"Meelis Kask")</f>
        <v>Meelis Kask</v>
      </c>
      <c r="B20" s="6" t="str">
        <f ca="1">IFERROR(__xludf.DUMMYFUNCTION("""COMPUTED_VALUE"""),"Viru")</f>
        <v>Viru</v>
      </c>
      <c r="C20" s="6" t="str">
        <f ca="1">IFERROR(__xludf.DUMMYFUNCTION("""COMPUTED_VALUE"""),"M")</f>
        <v>M</v>
      </c>
      <c r="D20" s="6" t="str">
        <f ca="1">IFERROR(__xludf.DUMMYFUNCTION("""COMPUTED_VALUE"""),"50m 3x20 H6")</f>
        <v>50m 3x20 H6</v>
      </c>
      <c r="E20" s="6" t="str">
        <f ca="1">IFERROR(__xludf.DUMMYFUNCTION("""COMPUTED_VALUE"""),"Võistkond")</f>
        <v>Võistkond</v>
      </c>
      <c r="F20" s="6" t="str">
        <f ca="1">IFERROR(__xludf.DUMMYFUNCTION("""COMPUTED_VALUE"""),"10.09.23")</f>
        <v>10.09.23</v>
      </c>
      <c r="G20" s="6">
        <f ca="1">IFERROR(__xludf.DUMMYFUNCTION("""COMPUTED_VALUE"""),90)</f>
        <v>90</v>
      </c>
      <c r="H20" s="6">
        <f ca="1">IFERROR(__xludf.DUMMYFUNCTION("""COMPUTED_VALUE"""),97)</f>
        <v>97</v>
      </c>
      <c r="I20" s="6">
        <f ca="1">IFERROR(__xludf.DUMMYFUNCTION("""COMPUTED_VALUE"""),96)</f>
        <v>96</v>
      </c>
      <c r="J20" s="6">
        <f ca="1">IFERROR(__xludf.DUMMYFUNCTION("""COMPUTED_VALUE"""),97)</f>
        <v>97</v>
      </c>
      <c r="K20" s="6">
        <f ca="1">IFERROR(__xludf.DUMMYFUNCTION("""COMPUTED_VALUE"""),87)</f>
        <v>87</v>
      </c>
      <c r="L20" s="6">
        <f ca="1">IFERROR(__xludf.DUMMYFUNCTION("""COMPUTED_VALUE"""),81)</f>
        <v>81</v>
      </c>
      <c r="M20" s="6">
        <f ca="1">IFERROR(__xludf.DUMMYFUNCTION("""COMPUTED_VALUE"""),548)</f>
        <v>548</v>
      </c>
      <c r="N20" s="6">
        <f ca="1">IFERROR(__xludf.DUMMYFUNCTION("""COMPUTED_VALUE"""),274)</f>
        <v>274</v>
      </c>
    </row>
    <row r="21" spans="1:14" ht="12.75">
      <c r="A21" s="6" t="str">
        <f ca="1">IFERROR(__xludf.DUMMYFUNCTION("""COMPUTED_VALUE"""),"Aare Väliste")</f>
        <v>Aare Väliste</v>
      </c>
      <c r="B21" s="6" t="str">
        <f ca="1">IFERROR(__xludf.DUMMYFUNCTION("""COMPUTED_VALUE"""),"Pärnumaa")</f>
        <v>Pärnumaa</v>
      </c>
      <c r="C21" s="6" t="str">
        <f ca="1">IFERROR(__xludf.DUMMYFUNCTION("""COMPUTED_VALUE"""),"M")</f>
        <v>M</v>
      </c>
      <c r="D21" s="6" t="str">
        <f ca="1">IFERROR(__xludf.DUMMYFUNCTION("""COMPUTED_VALUE"""),"50m 3x20 H6")</f>
        <v>50m 3x20 H6</v>
      </c>
      <c r="E21" s="6" t="str">
        <f ca="1">IFERROR(__xludf.DUMMYFUNCTION("""COMPUTED_VALUE"""),"Võistkond")</f>
        <v>Võistkond</v>
      </c>
      <c r="F21" s="6" t="str">
        <f ca="1">IFERROR(__xludf.DUMMYFUNCTION("""COMPUTED_VALUE"""),"09.09.23")</f>
        <v>09.09.23</v>
      </c>
      <c r="G21" s="6">
        <f ca="1">IFERROR(__xludf.DUMMYFUNCTION("""COMPUTED_VALUE"""),91)</f>
        <v>91</v>
      </c>
      <c r="H21" s="6">
        <f ca="1">IFERROR(__xludf.DUMMYFUNCTION("""COMPUTED_VALUE"""),92)</f>
        <v>92</v>
      </c>
      <c r="I21" s="6">
        <f ca="1">IFERROR(__xludf.DUMMYFUNCTION("""COMPUTED_VALUE"""),95)</f>
        <v>95</v>
      </c>
      <c r="J21" s="6">
        <f ca="1">IFERROR(__xludf.DUMMYFUNCTION("""COMPUTED_VALUE"""),94)</f>
        <v>94</v>
      </c>
      <c r="K21" s="6">
        <f ca="1">IFERROR(__xludf.DUMMYFUNCTION("""COMPUTED_VALUE"""),88)</f>
        <v>88</v>
      </c>
      <c r="L21" s="6">
        <f ca="1">IFERROR(__xludf.DUMMYFUNCTION("""COMPUTED_VALUE"""),86)</f>
        <v>86</v>
      </c>
      <c r="M21" s="6">
        <f ca="1">IFERROR(__xludf.DUMMYFUNCTION("""COMPUTED_VALUE"""),546)</f>
        <v>546</v>
      </c>
      <c r="N21" s="6">
        <f ca="1">IFERROR(__xludf.DUMMYFUNCTION("""COMPUTED_VALUE"""),273)</f>
        <v>273</v>
      </c>
    </row>
    <row r="22" spans="1:14" ht="12.75">
      <c r="A22" s="6" t="str">
        <f ca="1">IFERROR(__xludf.DUMMYFUNCTION("""COMPUTED_VALUE"""),"Raigo Pärnapuu")</f>
        <v>Raigo Pärnapuu</v>
      </c>
      <c r="B22" s="6" t="str">
        <f ca="1">IFERROR(__xludf.DUMMYFUNCTION("""COMPUTED_VALUE"""),"Lääne")</f>
        <v>Lääne</v>
      </c>
      <c r="C22" s="6" t="str">
        <f ca="1">IFERROR(__xludf.DUMMYFUNCTION("""COMPUTED_VALUE"""),"M")</f>
        <v>M</v>
      </c>
      <c r="D22" s="6" t="str">
        <f ca="1">IFERROR(__xludf.DUMMYFUNCTION("""COMPUTED_VALUE"""),"50m 3x20 H6")</f>
        <v>50m 3x20 H6</v>
      </c>
      <c r="E22" s="6" t="str">
        <f ca="1">IFERROR(__xludf.DUMMYFUNCTION("""COMPUTED_VALUE"""),"Võistkond")</f>
        <v>Võistkond</v>
      </c>
      <c r="F22" s="6" t="str">
        <f ca="1">IFERROR(__xludf.DUMMYFUNCTION("""COMPUTED_VALUE"""),"10.09.23")</f>
        <v>10.09.23</v>
      </c>
      <c r="G22" s="6">
        <f ca="1">IFERROR(__xludf.DUMMYFUNCTION("""COMPUTED_VALUE"""),92)</f>
        <v>92</v>
      </c>
      <c r="H22" s="6">
        <f ca="1">IFERROR(__xludf.DUMMYFUNCTION("""COMPUTED_VALUE"""),90)</f>
        <v>90</v>
      </c>
      <c r="I22" s="6">
        <f ca="1">IFERROR(__xludf.DUMMYFUNCTION("""COMPUTED_VALUE"""),94)</f>
        <v>94</v>
      </c>
      <c r="J22" s="6">
        <f ca="1">IFERROR(__xludf.DUMMYFUNCTION("""COMPUTED_VALUE"""),93)</f>
        <v>93</v>
      </c>
      <c r="K22" s="6">
        <f ca="1">IFERROR(__xludf.DUMMYFUNCTION("""COMPUTED_VALUE"""),88)</f>
        <v>88</v>
      </c>
      <c r="L22" s="6">
        <f ca="1">IFERROR(__xludf.DUMMYFUNCTION("""COMPUTED_VALUE"""),86)</f>
        <v>86</v>
      </c>
      <c r="M22" s="6">
        <f ca="1">IFERROR(__xludf.DUMMYFUNCTION("""COMPUTED_VALUE"""),543)</f>
        <v>543</v>
      </c>
      <c r="N22" s="6">
        <f ca="1">IFERROR(__xludf.DUMMYFUNCTION("""COMPUTED_VALUE"""),271.5)</f>
        <v>271.5</v>
      </c>
    </row>
    <row r="23" spans="1:14" ht="12.75">
      <c r="A23" s="6" t="str">
        <f ca="1">IFERROR(__xludf.DUMMYFUNCTION("""COMPUTED_VALUE"""),"Artjom Plotnikov")</f>
        <v>Artjom Plotnikov</v>
      </c>
      <c r="B23" s="6" t="str">
        <f ca="1">IFERROR(__xludf.DUMMYFUNCTION("""COMPUTED_VALUE"""),"Alutaguse")</f>
        <v>Alutaguse</v>
      </c>
      <c r="C23" s="6" t="str">
        <f ca="1">IFERROR(__xludf.DUMMYFUNCTION("""COMPUTED_VALUE"""),"MJ")</f>
        <v>MJ</v>
      </c>
      <c r="D23" s="6" t="str">
        <f ca="1">IFERROR(__xludf.DUMMYFUNCTION("""COMPUTED_VALUE"""),"50m 3x20 H6")</f>
        <v>50m 3x20 H6</v>
      </c>
      <c r="E23" s="6" t="str">
        <f ca="1">IFERROR(__xludf.DUMMYFUNCTION("""COMPUTED_VALUE"""),"Võistkond")</f>
        <v>Võistkond</v>
      </c>
      <c r="F23" s="6" t="str">
        <f ca="1">IFERROR(__xludf.DUMMYFUNCTION("""COMPUTED_VALUE"""),"09.09.23")</f>
        <v>09.09.23</v>
      </c>
      <c r="G23" s="6">
        <f ca="1">IFERROR(__xludf.DUMMYFUNCTION("""COMPUTED_VALUE"""),85)</f>
        <v>85</v>
      </c>
      <c r="H23" s="6">
        <f ca="1">IFERROR(__xludf.DUMMYFUNCTION("""COMPUTED_VALUE"""),93)</f>
        <v>93</v>
      </c>
      <c r="I23" s="6">
        <f ca="1">IFERROR(__xludf.DUMMYFUNCTION("""COMPUTED_VALUE"""),98)</f>
        <v>98</v>
      </c>
      <c r="J23" s="6">
        <f ca="1">IFERROR(__xludf.DUMMYFUNCTION("""COMPUTED_VALUE"""),96)</f>
        <v>96</v>
      </c>
      <c r="K23" s="6">
        <f ca="1">IFERROR(__xludf.DUMMYFUNCTION("""COMPUTED_VALUE"""),86)</f>
        <v>86</v>
      </c>
      <c r="L23" s="6">
        <f ca="1">IFERROR(__xludf.DUMMYFUNCTION("""COMPUTED_VALUE"""),82)</f>
        <v>82</v>
      </c>
      <c r="M23" s="6">
        <f ca="1">IFERROR(__xludf.DUMMYFUNCTION("""COMPUTED_VALUE"""),540)</f>
        <v>540</v>
      </c>
      <c r="N23" s="6">
        <f ca="1">IFERROR(__xludf.DUMMYFUNCTION("""COMPUTED_VALUE"""),270)</f>
        <v>270</v>
      </c>
    </row>
    <row r="24" spans="1:14" ht="12.75">
      <c r="A24" s="6" t="str">
        <f ca="1">IFERROR(__xludf.DUMMYFUNCTION("""COMPUTED_VALUE"""),"Kaspar Viiron")</f>
        <v>Kaspar Viiron</v>
      </c>
      <c r="B24" s="6" t="str">
        <f ca="1">IFERROR(__xludf.DUMMYFUNCTION("""COMPUTED_VALUE"""),"Rapla")</f>
        <v>Rapla</v>
      </c>
      <c r="C24" s="6" t="str">
        <f ca="1">IFERROR(__xludf.DUMMYFUNCTION("""COMPUTED_VALUE"""),"M")</f>
        <v>M</v>
      </c>
      <c r="D24" s="6" t="str">
        <f ca="1">IFERROR(__xludf.DUMMYFUNCTION("""COMPUTED_VALUE"""),"50m 3x20 H6")</f>
        <v>50m 3x20 H6</v>
      </c>
      <c r="E24" s="6" t="str">
        <f ca="1">IFERROR(__xludf.DUMMYFUNCTION("""COMPUTED_VALUE"""),"Võistkond")</f>
        <v>Võistkond</v>
      </c>
      <c r="F24" s="6" t="str">
        <f ca="1">IFERROR(__xludf.DUMMYFUNCTION("""COMPUTED_VALUE"""),"10.09.23")</f>
        <v>10.09.23</v>
      </c>
      <c r="G24" s="6">
        <f ca="1">IFERROR(__xludf.DUMMYFUNCTION("""COMPUTED_VALUE"""),89)</f>
        <v>89</v>
      </c>
      <c r="H24" s="6">
        <f ca="1">IFERROR(__xludf.DUMMYFUNCTION("""COMPUTED_VALUE"""),91)</f>
        <v>91</v>
      </c>
      <c r="I24" s="6">
        <f ca="1">IFERROR(__xludf.DUMMYFUNCTION("""COMPUTED_VALUE"""),96)</f>
        <v>96</v>
      </c>
      <c r="J24" s="6">
        <f ca="1">IFERROR(__xludf.DUMMYFUNCTION("""COMPUTED_VALUE"""),97)</f>
        <v>97</v>
      </c>
      <c r="K24" s="6">
        <f ca="1">IFERROR(__xludf.DUMMYFUNCTION("""COMPUTED_VALUE"""),78)</f>
        <v>78</v>
      </c>
      <c r="L24" s="6">
        <f ca="1">IFERROR(__xludf.DUMMYFUNCTION("""COMPUTED_VALUE"""),83)</f>
        <v>83</v>
      </c>
      <c r="M24" s="6">
        <f ca="1">IFERROR(__xludf.DUMMYFUNCTION("""COMPUTED_VALUE"""),534)</f>
        <v>534</v>
      </c>
      <c r="N24" s="6">
        <f ca="1">IFERROR(__xludf.DUMMYFUNCTION("""COMPUTED_VALUE"""),267)</f>
        <v>267</v>
      </c>
    </row>
    <row r="25" spans="1:14" ht="12.75">
      <c r="A25" s="6" t="str">
        <f ca="1">IFERROR(__xludf.DUMMYFUNCTION("""COMPUTED_VALUE"""),"Katrin Mirtel Tutt")</f>
        <v>Katrin Mirtel Tutt</v>
      </c>
      <c r="B25" s="6" t="str">
        <f ca="1">IFERROR(__xludf.DUMMYFUNCTION("""COMPUTED_VALUE"""),"Rapla")</f>
        <v>Rapla</v>
      </c>
      <c r="C25" s="6" t="str">
        <f ca="1">IFERROR(__xludf.DUMMYFUNCTION("""COMPUTED_VALUE"""),"NJ")</f>
        <v>NJ</v>
      </c>
      <c r="D25" s="6" t="str">
        <f ca="1">IFERROR(__xludf.DUMMYFUNCTION("""COMPUTED_VALUE"""),"50m 3x20 H6")</f>
        <v>50m 3x20 H6</v>
      </c>
      <c r="E25" s="6" t="str">
        <f ca="1">IFERROR(__xludf.DUMMYFUNCTION("""COMPUTED_VALUE"""),"Võistkond")</f>
        <v>Võistkond</v>
      </c>
      <c r="F25" s="6" t="str">
        <f ca="1">IFERROR(__xludf.DUMMYFUNCTION("""COMPUTED_VALUE"""),"10.09.23")</f>
        <v>10.09.23</v>
      </c>
      <c r="G25" s="6">
        <f ca="1">IFERROR(__xludf.DUMMYFUNCTION("""COMPUTED_VALUE"""),83)</f>
        <v>83</v>
      </c>
      <c r="H25" s="6">
        <f ca="1">IFERROR(__xludf.DUMMYFUNCTION("""COMPUTED_VALUE"""),86)</f>
        <v>86</v>
      </c>
      <c r="I25" s="6">
        <f ca="1">IFERROR(__xludf.DUMMYFUNCTION("""COMPUTED_VALUE"""),95)</f>
        <v>95</v>
      </c>
      <c r="J25" s="6">
        <f ca="1">IFERROR(__xludf.DUMMYFUNCTION("""COMPUTED_VALUE"""),97)</f>
        <v>97</v>
      </c>
      <c r="K25" s="6">
        <f ca="1">IFERROR(__xludf.DUMMYFUNCTION("""COMPUTED_VALUE"""),87)</f>
        <v>87</v>
      </c>
      <c r="L25" s="6">
        <f ca="1">IFERROR(__xludf.DUMMYFUNCTION("""COMPUTED_VALUE"""),82)</f>
        <v>82</v>
      </c>
      <c r="M25" s="6">
        <f ca="1">IFERROR(__xludf.DUMMYFUNCTION("""COMPUTED_VALUE"""),530)</f>
        <v>530</v>
      </c>
      <c r="N25" s="6">
        <f ca="1">IFERROR(__xludf.DUMMYFUNCTION("""COMPUTED_VALUE"""),265)</f>
        <v>265</v>
      </c>
    </row>
    <row r="26" spans="1:14" ht="12.75">
      <c r="A26" s="6" t="str">
        <f ca="1">IFERROR(__xludf.DUMMYFUNCTION("""COMPUTED_VALUE"""),"Annika Sarna")</f>
        <v>Annika Sarna</v>
      </c>
      <c r="B26" s="6" t="str">
        <f ca="1">IFERROR(__xludf.DUMMYFUNCTION("""COMPUTED_VALUE"""),"Harju")</f>
        <v>Harju</v>
      </c>
      <c r="C26" s="6" t="str">
        <f ca="1">IFERROR(__xludf.DUMMYFUNCTION("""COMPUTED_VALUE"""),"NJ")</f>
        <v>NJ</v>
      </c>
      <c r="D26" s="6" t="str">
        <f ca="1">IFERROR(__xludf.DUMMYFUNCTION("""COMPUTED_VALUE"""),"50m 3x20 H6")</f>
        <v>50m 3x20 H6</v>
      </c>
      <c r="E26" s="6" t="str">
        <f ca="1">IFERROR(__xludf.DUMMYFUNCTION("""COMPUTED_VALUE"""),"Individuaalne")</f>
        <v>Individuaalne</v>
      </c>
      <c r="F26" s="6" t="str">
        <f ca="1">IFERROR(__xludf.DUMMYFUNCTION("""COMPUTED_VALUE"""),"10.09.23")</f>
        <v>10.09.23</v>
      </c>
      <c r="G26" s="6">
        <f ca="1">IFERROR(__xludf.DUMMYFUNCTION("""COMPUTED_VALUE"""),88)</f>
        <v>88</v>
      </c>
      <c r="H26" s="6">
        <f ca="1">IFERROR(__xludf.DUMMYFUNCTION("""COMPUTED_VALUE"""),90)</f>
        <v>90</v>
      </c>
      <c r="I26" s="6">
        <f ca="1">IFERROR(__xludf.DUMMYFUNCTION("""COMPUTED_VALUE"""),93)</f>
        <v>93</v>
      </c>
      <c r="J26" s="6">
        <f ca="1">IFERROR(__xludf.DUMMYFUNCTION("""COMPUTED_VALUE"""),96)</f>
        <v>96</v>
      </c>
      <c r="K26" s="6">
        <f ca="1">IFERROR(__xludf.DUMMYFUNCTION("""COMPUTED_VALUE"""),82)</f>
        <v>82</v>
      </c>
      <c r="L26" s="6">
        <f ca="1">IFERROR(__xludf.DUMMYFUNCTION("""COMPUTED_VALUE"""),80)</f>
        <v>80</v>
      </c>
      <c r="M26" s="6">
        <f ca="1">IFERROR(__xludf.DUMMYFUNCTION("""COMPUTED_VALUE"""),529)</f>
        <v>529</v>
      </c>
      <c r="N26" s="6"/>
    </row>
    <row r="27" spans="1:14" ht="12.75">
      <c r="A27" s="6" t="str">
        <f ca="1">IFERROR(__xludf.DUMMYFUNCTION("""COMPUTED_VALUE"""),"Tanel Moor")</f>
        <v>Tanel Moor</v>
      </c>
      <c r="B27" s="6" t="str">
        <f ca="1">IFERROR(__xludf.DUMMYFUNCTION("""COMPUTED_VALUE"""),"Harju")</f>
        <v>Harju</v>
      </c>
      <c r="C27" s="6" t="str">
        <f ca="1">IFERROR(__xludf.DUMMYFUNCTION("""COMPUTED_VALUE"""),"MJ")</f>
        <v>MJ</v>
      </c>
      <c r="D27" s="6" t="str">
        <f ca="1">IFERROR(__xludf.DUMMYFUNCTION("""COMPUTED_VALUE"""),"50m 3x20 H6")</f>
        <v>50m 3x20 H6</v>
      </c>
      <c r="E27" s="6" t="str">
        <f ca="1">IFERROR(__xludf.DUMMYFUNCTION("""COMPUTED_VALUE"""),"Võistkond")</f>
        <v>Võistkond</v>
      </c>
      <c r="F27" s="6" t="str">
        <f ca="1">IFERROR(__xludf.DUMMYFUNCTION("""COMPUTED_VALUE"""),"10.09.23")</f>
        <v>10.09.23</v>
      </c>
      <c r="G27" s="6">
        <f ca="1">IFERROR(__xludf.DUMMYFUNCTION("""COMPUTED_VALUE"""),87)</f>
        <v>87</v>
      </c>
      <c r="H27" s="6">
        <f ca="1">IFERROR(__xludf.DUMMYFUNCTION("""COMPUTED_VALUE"""),90)</f>
        <v>90</v>
      </c>
      <c r="I27" s="6">
        <f ca="1">IFERROR(__xludf.DUMMYFUNCTION("""COMPUTED_VALUE"""),95)</f>
        <v>95</v>
      </c>
      <c r="J27" s="6">
        <f ca="1">IFERROR(__xludf.DUMMYFUNCTION("""COMPUTED_VALUE"""),95)</f>
        <v>95</v>
      </c>
      <c r="K27" s="6">
        <f ca="1">IFERROR(__xludf.DUMMYFUNCTION("""COMPUTED_VALUE"""),78)</f>
        <v>78</v>
      </c>
      <c r="L27" s="6">
        <f ca="1">IFERROR(__xludf.DUMMYFUNCTION("""COMPUTED_VALUE"""),78)</f>
        <v>78</v>
      </c>
      <c r="M27" s="6">
        <f ca="1">IFERROR(__xludf.DUMMYFUNCTION("""COMPUTED_VALUE"""),523)</f>
        <v>523</v>
      </c>
      <c r="N27" s="6">
        <f ca="1">IFERROR(__xludf.DUMMYFUNCTION("""COMPUTED_VALUE"""),261.5)</f>
        <v>261.5</v>
      </c>
    </row>
    <row r="28" spans="1:14" ht="12.75">
      <c r="A28" s="6" t="str">
        <f ca="1">IFERROR(__xludf.DUMMYFUNCTION("""COMPUTED_VALUE"""),"Markko Aarne")</f>
        <v>Markko Aarne</v>
      </c>
      <c r="B28" s="6" t="str">
        <f ca="1">IFERROR(__xludf.DUMMYFUNCTION("""COMPUTED_VALUE"""),"Sakala")</f>
        <v>Sakala</v>
      </c>
      <c r="C28" s="6" t="str">
        <f ca="1">IFERROR(__xludf.DUMMYFUNCTION("""COMPUTED_VALUE"""),"M")</f>
        <v>M</v>
      </c>
      <c r="D28" s="6" t="str">
        <f ca="1">IFERROR(__xludf.DUMMYFUNCTION("""COMPUTED_VALUE"""),"50m 3x20 H6")</f>
        <v>50m 3x20 H6</v>
      </c>
      <c r="E28" s="6" t="str">
        <f ca="1">IFERROR(__xludf.DUMMYFUNCTION("""COMPUTED_VALUE"""),"Võistkond")</f>
        <v>Võistkond</v>
      </c>
      <c r="F28" s="6" t="str">
        <f ca="1">IFERROR(__xludf.DUMMYFUNCTION("""COMPUTED_VALUE"""),"10.09.23")</f>
        <v>10.09.23</v>
      </c>
      <c r="G28" s="6">
        <f ca="1">IFERROR(__xludf.DUMMYFUNCTION("""COMPUTED_VALUE"""),90)</f>
        <v>90</v>
      </c>
      <c r="H28" s="6">
        <f ca="1">IFERROR(__xludf.DUMMYFUNCTION("""COMPUTED_VALUE"""),92)</f>
        <v>92</v>
      </c>
      <c r="I28" s="6">
        <f ca="1">IFERROR(__xludf.DUMMYFUNCTION("""COMPUTED_VALUE"""),96)</f>
        <v>96</v>
      </c>
      <c r="J28" s="6">
        <f ca="1">IFERROR(__xludf.DUMMYFUNCTION("""COMPUTED_VALUE"""),98)</f>
        <v>98</v>
      </c>
      <c r="K28" s="6">
        <f ca="1">IFERROR(__xludf.DUMMYFUNCTION("""COMPUTED_VALUE"""),72)</f>
        <v>72</v>
      </c>
      <c r="L28" s="6">
        <f ca="1">IFERROR(__xludf.DUMMYFUNCTION("""COMPUTED_VALUE"""),75)</f>
        <v>75</v>
      </c>
      <c r="M28" s="6">
        <f ca="1">IFERROR(__xludf.DUMMYFUNCTION("""COMPUTED_VALUE"""),523)</f>
        <v>523</v>
      </c>
      <c r="N28" s="6">
        <f ca="1">IFERROR(__xludf.DUMMYFUNCTION("""COMPUTED_VALUE"""),261.5)</f>
        <v>261.5</v>
      </c>
    </row>
    <row r="29" spans="1:14" ht="12.75">
      <c r="A29" s="6" t="str">
        <f ca="1">IFERROR(__xludf.DUMMYFUNCTION("""COMPUTED_VALUE"""),"Silver Juksaar")</f>
        <v>Silver Juksaar</v>
      </c>
      <c r="B29" s="6" t="str">
        <f ca="1">IFERROR(__xludf.DUMMYFUNCTION("""COMPUTED_VALUE"""),"Pärnumaa")</f>
        <v>Pärnumaa</v>
      </c>
      <c r="C29" s="6" t="str">
        <f ca="1">IFERROR(__xludf.DUMMYFUNCTION("""COMPUTED_VALUE"""),"MJ")</f>
        <v>MJ</v>
      </c>
      <c r="D29" s="6" t="str">
        <f ca="1">IFERROR(__xludf.DUMMYFUNCTION("""COMPUTED_VALUE"""),"50m 3x20 H6")</f>
        <v>50m 3x20 H6</v>
      </c>
      <c r="E29" s="6" t="str">
        <f ca="1">IFERROR(__xludf.DUMMYFUNCTION("""COMPUTED_VALUE"""),"Võistkond")</f>
        <v>Võistkond</v>
      </c>
      <c r="F29" s="6" t="str">
        <f ca="1">IFERROR(__xludf.DUMMYFUNCTION("""COMPUTED_VALUE"""),"09.09.23")</f>
        <v>09.09.23</v>
      </c>
      <c r="G29" s="6">
        <f ca="1">IFERROR(__xludf.DUMMYFUNCTION("""COMPUTED_VALUE"""),86)</f>
        <v>86</v>
      </c>
      <c r="H29" s="6">
        <f ca="1">IFERROR(__xludf.DUMMYFUNCTION("""COMPUTED_VALUE"""),87)</f>
        <v>87</v>
      </c>
      <c r="I29" s="6">
        <f ca="1">IFERROR(__xludf.DUMMYFUNCTION("""COMPUTED_VALUE"""),85)</f>
        <v>85</v>
      </c>
      <c r="J29" s="6">
        <f ca="1">IFERROR(__xludf.DUMMYFUNCTION("""COMPUTED_VALUE"""),90)</f>
        <v>90</v>
      </c>
      <c r="K29" s="6">
        <f ca="1">IFERROR(__xludf.DUMMYFUNCTION("""COMPUTED_VALUE"""),85)</f>
        <v>85</v>
      </c>
      <c r="L29" s="6">
        <f ca="1">IFERROR(__xludf.DUMMYFUNCTION("""COMPUTED_VALUE"""),87)</f>
        <v>87</v>
      </c>
      <c r="M29" s="6">
        <f ca="1">IFERROR(__xludf.DUMMYFUNCTION("""COMPUTED_VALUE"""),520)</f>
        <v>520</v>
      </c>
      <c r="N29" s="6">
        <f ca="1">IFERROR(__xludf.DUMMYFUNCTION("""COMPUTED_VALUE"""),260)</f>
        <v>260</v>
      </c>
    </row>
    <row r="30" spans="1:14" ht="12.75">
      <c r="A30" s="6" t="str">
        <f ca="1">IFERROR(__xludf.DUMMYFUNCTION("""COMPUTED_VALUE"""),"Markko Kirsti")</f>
        <v>Markko Kirsti</v>
      </c>
      <c r="B30" s="6" t="str">
        <f ca="1">IFERROR(__xludf.DUMMYFUNCTION("""COMPUTED_VALUE"""),"Sakala")</f>
        <v>Sakala</v>
      </c>
      <c r="C30" s="6" t="str">
        <f ca="1">IFERROR(__xludf.DUMMYFUNCTION("""COMPUTED_VALUE"""),"N")</f>
        <v>N</v>
      </c>
      <c r="D30" s="6" t="str">
        <f ca="1">IFERROR(__xludf.DUMMYFUNCTION("""COMPUTED_VALUE"""),"50m 3x20 H6")</f>
        <v>50m 3x20 H6</v>
      </c>
      <c r="E30" s="6" t="str">
        <f ca="1">IFERROR(__xludf.DUMMYFUNCTION("""COMPUTED_VALUE"""),"Võistkond")</f>
        <v>Võistkond</v>
      </c>
      <c r="F30" s="6" t="str">
        <f ca="1">IFERROR(__xludf.DUMMYFUNCTION("""COMPUTED_VALUE"""),"10.09.23")</f>
        <v>10.09.23</v>
      </c>
      <c r="G30" s="6">
        <f ca="1">IFERROR(__xludf.DUMMYFUNCTION("""COMPUTED_VALUE"""),89)</f>
        <v>89</v>
      </c>
      <c r="H30" s="6">
        <f ca="1">IFERROR(__xludf.DUMMYFUNCTION("""COMPUTED_VALUE"""),88)</f>
        <v>88</v>
      </c>
      <c r="I30" s="6">
        <f ca="1">IFERROR(__xludf.DUMMYFUNCTION("""COMPUTED_VALUE"""),96)</f>
        <v>96</v>
      </c>
      <c r="J30" s="6">
        <f ca="1">IFERROR(__xludf.DUMMYFUNCTION("""COMPUTED_VALUE"""),94)</f>
        <v>94</v>
      </c>
      <c r="K30" s="6">
        <f ca="1">IFERROR(__xludf.DUMMYFUNCTION("""COMPUTED_VALUE"""),76)</f>
        <v>76</v>
      </c>
      <c r="L30" s="6">
        <f ca="1">IFERROR(__xludf.DUMMYFUNCTION("""COMPUTED_VALUE"""),75)</f>
        <v>75</v>
      </c>
      <c r="M30" s="6">
        <f ca="1">IFERROR(__xludf.DUMMYFUNCTION("""COMPUTED_VALUE"""),518)</f>
        <v>518</v>
      </c>
      <c r="N30" s="6">
        <f ca="1">IFERROR(__xludf.DUMMYFUNCTION("""COMPUTED_VALUE"""),259)</f>
        <v>259</v>
      </c>
    </row>
    <row r="31" spans="1:14" ht="12.75">
      <c r="A31" s="6" t="str">
        <f ca="1">IFERROR(__xludf.DUMMYFUNCTION("""COMPUTED_VALUE"""),"Pilleriin Vaarik")</f>
        <v>Pilleriin Vaarik</v>
      </c>
      <c r="B31" s="6" t="str">
        <f ca="1">IFERROR(__xludf.DUMMYFUNCTION("""COMPUTED_VALUE"""),"Viru")</f>
        <v>Viru</v>
      </c>
      <c r="C31" s="6" t="str">
        <f ca="1">IFERROR(__xludf.DUMMYFUNCTION("""COMPUTED_VALUE"""),"NJ")</f>
        <v>NJ</v>
      </c>
      <c r="D31" s="6" t="str">
        <f ca="1">IFERROR(__xludf.DUMMYFUNCTION("""COMPUTED_VALUE"""),"50m 3x20 H6")</f>
        <v>50m 3x20 H6</v>
      </c>
      <c r="E31" s="6" t="str">
        <f ca="1">IFERROR(__xludf.DUMMYFUNCTION("""COMPUTED_VALUE"""),"Võistkond")</f>
        <v>Võistkond</v>
      </c>
      <c r="F31" s="6" t="str">
        <f ca="1">IFERROR(__xludf.DUMMYFUNCTION("""COMPUTED_VALUE"""),"10.09.23")</f>
        <v>10.09.23</v>
      </c>
      <c r="G31" s="6">
        <f ca="1">IFERROR(__xludf.DUMMYFUNCTION("""COMPUTED_VALUE"""),85)</f>
        <v>85</v>
      </c>
      <c r="H31" s="6">
        <f ca="1">IFERROR(__xludf.DUMMYFUNCTION("""COMPUTED_VALUE"""),88)</f>
        <v>88</v>
      </c>
      <c r="I31" s="6">
        <f ca="1">IFERROR(__xludf.DUMMYFUNCTION("""COMPUTED_VALUE"""),90)</f>
        <v>90</v>
      </c>
      <c r="J31" s="6">
        <f ca="1">IFERROR(__xludf.DUMMYFUNCTION("""COMPUTED_VALUE"""),92)</f>
        <v>92</v>
      </c>
      <c r="K31" s="6">
        <f ca="1">IFERROR(__xludf.DUMMYFUNCTION("""COMPUTED_VALUE"""),78)</f>
        <v>78</v>
      </c>
      <c r="L31" s="6">
        <f ca="1">IFERROR(__xludf.DUMMYFUNCTION("""COMPUTED_VALUE"""),74)</f>
        <v>74</v>
      </c>
      <c r="M31" s="6">
        <f ca="1">IFERROR(__xludf.DUMMYFUNCTION("""COMPUTED_VALUE"""),507)</f>
        <v>507</v>
      </c>
      <c r="N31" s="6">
        <f ca="1">IFERROR(__xludf.DUMMYFUNCTION("""COMPUTED_VALUE"""),253.5)</f>
        <v>253.5</v>
      </c>
    </row>
    <row r="32" spans="1:14" ht="12.75">
      <c r="A32" s="6" t="str">
        <f ca="1">IFERROR(__xludf.DUMMYFUNCTION("""COMPUTED_VALUE"""),"Greg Mattias Murumets")</f>
        <v>Greg Mattias Murumets</v>
      </c>
      <c r="B32" s="6" t="str">
        <f ca="1">IFERROR(__xludf.DUMMYFUNCTION("""COMPUTED_VALUE"""),"Põlva")</f>
        <v>Põlva</v>
      </c>
      <c r="C32" s="6" t="str">
        <f ca="1">IFERROR(__xludf.DUMMYFUNCTION("""COMPUTED_VALUE"""),"M")</f>
        <v>M</v>
      </c>
      <c r="D32" s="6" t="str">
        <f ca="1">IFERROR(__xludf.DUMMYFUNCTION("""COMPUTED_VALUE"""),"50m 3x20 H6")</f>
        <v>50m 3x20 H6</v>
      </c>
      <c r="E32" s="6" t="str">
        <f ca="1">IFERROR(__xludf.DUMMYFUNCTION("""COMPUTED_VALUE"""),"Võistkond")</f>
        <v>Võistkond</v>
      </c>
      <c r="F32" s="6" t="str">
        <f ca="1">IFERROR(__xludf.DUMMYFUNCTION("""COMPUTED_VALUE"""),"10.09.23")</f>
        <v>10.09.23</v>
      </c>
      <c r="G32" s="6">
        <f ca="1">IFERROR(__xludf.DUMMYFUNCTION("""COMPUTED_VALUE"""),88)</f>
        <v>88</v>
      </c>
      <c r="H32" s="6">
        <f ca="1">IFERROR(__xludf.DUMMYFUNCTION("""COMPUTED_VALUE"""),84)</f>
        <v>84</v>
      </c>
      <c r="I32" s="6">
        <f ca="1">IFERROR(__xludf.DUMMYFUNCTION("""COMPUTED_VALUE"""),93)</f>
        <v>93</v>
      </c>
      <c r="J32" s="6">
        <f ca="1">IFERROR(__xludf.DUMMYFUNCTION("""COMPUTED_VALUE"""),92)</f>
        <v>92</v>
      </c>
      <c r="K32" s="6">
        <f ca="1">IFERROR(__xludf.DUMMYFUNCTION("""COMPUTED_VALUE"""),80)</f>
        <v>80</v>
      </c>
      <c r="L32" s="6">
        <f ca="1">IFERROR(__xludf.DUMMYFUNCTION("""COMPUTED_VALUE"""),70)</f>
        <v>70</v>
      </c>
      <c r="M32" s="6">
        <f ca="1">IFERROR(__xludf.DUMMYFUNCTION("""COMPUTED_VALUE"""),507)</f>
        <v>507</v>
      </c>
      <c r="N32" s="6">
        <f ca="1">IFERROR(__xludf.DUMMYFUNCTION("""COMPUTED_VALUE"""),253.5)</f>
        <v>253.5</v>
      </c>
    </row>
    <row r="33" spans="1:14" ht="12.75">
      <c r="A33" s="6" t="str">
        <f ca="1">IFERROR(__xludf.DUMMYFUNCTION("""COMPUTED_VALUE"""),"Kaisa Sikk")</f>
        <v>Kaisa Sikk</v>
      </c>
      <c r="B33" s="6" t="str">
        <f ca="1">IFERROR(__xludf.DUMMYFUNCTION("""COMPUTED_VALUE"""),"Võrumaa")</f>
        <v>Võrumaa</v>
      </c>
      <c r="C33" s="6" t="str">
        <f ca="1">IFERROR(__xludf.DUMMYFUNCTION("""COMPUTED_VALUE"""),"N")</f>
        <v>N</v>
      </c>
      <c r="D33" s="6" t="str">
        <f ca="1">IFERROR(__xludf.DUMMYFUNCTION("""COMPUTED_VALUE"""),"50m 3x20 H6")</f>
        <v>50m 3x20 H6</v>
      </c>
      <c r="E33" s="6" t="str">
        <f ca="1">IFERROR(__xludf.DUMMYFUNCTION("""COMPUTED_VALUE"""),"Võistkond")</f>
        <v>Võistkond</v>
      </c>
      <c r="F33" s="6" t="str">
        <f ca="1">IFERROR(__xludf.DUMMYFUNCTION("""COMPUTED_VALUE"""),"10.09.23")</f>
        <v>10.09.23</v>
      </c>
      <c r="G33" s="6">
        <f ca="1">IFERROR(__xludf.DUMMYFUNCTION("""COMPUTED_VALUE"""),86)</f>
        <v>86</v>
      </c>
      <c r="H33" s="6">
        <f ca="1">IFERROR(__xludf.DUMMYFUNCTION("""COMPUTED_VALUE"""),75)</f>
        <v>75</v>
      </c>
      <c r="I33" s="6">
        <f ca="1">IFERROR(__xludf.DUMMYFUNCTION("""COMPUTED_VALUE"""),100)</f>
        <v>100</v>
      </c>
      <c r="J33" s="6">
        <f ca="1">IFERROR(__xludf.DUMMYFUNCTION("""COMPUTED_VALUE"""),92)</f>
        <v>92</v>
      </c>
      <c r="K33" s="6">
        <f ca="1">IFERROR(__xludf.DUMMYFUNCTION("""COMPUTED_VALUE"""),76)</f>
        <v>76</v>
      </c>
      <c r="L33" s="6">
        <f ca="1">IFERROR(__xludf.DUMMYFUNCTION("""COMPUTED_VALUE"""),71)</f>
        <v>71</v>
      </c>
      <c r="M33" s="6">
        <f ca="1">IFERROR(__xludf.DUMMYFUNCTION("""COMPUTED_VALUE"""),500)</f>
        <v>500</v>
      </c>
      <c r="N33" s="6">
        <f ca="1">IFERROR(__xludf.DUMMYFUNCTION("""COMPUTED_VALUE"""),250)</f>
        <v>250</v>
      </c>
    </row>
    <row r="34" spans="1:14" ht="12.75">
      <c r="A34" s="6" t="str">
        <f ca="1">IFERROR(__xludf.DUMMYFUNCTION("""COMPUTED_VALUE"""),"Liis Koger")</f>
        <v>Liis Koger</v>
      </c>
      <c r="B34" s="6" t="str">
        <f ca="1">IFERROR(__xludf.DUMMYFUNCTION("""COMPUTED_VALUE"""),"Järva")</f>
        <v>Järva</v>
      </c>
      <c r="C34" s="6" t="str">
        <f ca="1">IFERROR(__xludf.DUMMYFUNCTION("""COMPUTED_VALUE"""),"N")</f>
        <v>N</v>
      </c>
      <c r="D34" s="6" t="str">
        <f ca="1">IFERROR(__xludf.DUMMYFUNCTION("""COMPUTED_VALUE"""),"50m 3x20 H6")</f>
        <v>50m 3x20 H6</v>
      </c>
      <c r="E34" s="6" t="str">
        <f ca="1">IFERROR(__xludf.DUMMYFUNCTION("""COMPUTED_VALUE"""),"Võistkond")</f>
        <v>Võistkond</v>
      </c>
      <c r="F34" s="6" t="str">
        <f ca="1">IFERROR(__xludf.DUMMYFUNCTION("""COMPUTED_VALUE"""),"09.09.23")</f>
        <v>09.09.23</v>
      </c>
      <c r="G34" s="6">
        <f ca="1">IFERROR(__xludf.DUMMYFUNCTION("""COMPUTED_VALUE"""),76)</f>
        <v>76</v>
      </c>
      <c r="H34" s="6">
        <f ca="1">IFERROR(__xludf.DUMMYFUNCTION("""COMPUTED_VALUE"""),80)</f>
        <v>80</v>
      </c>
      <c r="I34" s="6">
        <f ca="1">IFERROR(__xludf.DUMMYFUNCTION("""COMPUTED_VALUE"""),97)</f>
        <v>97</v>
      </c>
      <c r="J34" s="6">
        <f ca="1">IFERROR(__xludf.DUMMYFUNCTION("""COMPUTED_VALUE"""),86)</f>
        <v>86</v>
      </c>
      <c r="K34" s="6">
        <f ca="1">IFERROR(__xludf.DUMMYFUNCTION("""COMPUTED_VALUE"""),78)</f>
        <v>78</v>
      </c>
      <c r="L34" s="6">
        <f ca="1">IFERROR(__xludf.DUMMYFUNCTION("""COMPUTED_VALUE"""),76)</f>
        <v>76</v>
      </c>
      <c r="M34" s="6">
        <f ca="1">IFERROR(__xludf.DUMMYFUNCTION("""COMPUTED_VALUE"""),493)</f>
        <v>493</v>
      </c>
      <c r="N34" s="6">
        <f ca="1">IFERROR(__xludf.DUMMYFUNCTION("""COMPUTED_VALUE"""),246.5)</f>
        <v>246.5</v>
      </c>
    </row>
    <row r="35" spans="1:14" ht="12.75">
      <c r="A35" s="6" t="str">
        <f ca="1">IFERROR(__xludf.DUMMYFUNCTION("""COMPUTED_VALUE"""),"Lisette Tafenau")</f>
        <v>Lisette Tafenau</v>
      </c>
      <c r="B35" s="6" t="str">
        <f ca="1">IFERROR(__xludf.DUMMYFUNCTION("""COMPUTED_VALUE"""),"Tallinn")</f>
        <v>Tallinn</v>
      </c>
      <c r="C35" s="6" t="str">
        <f ca="1">IFERROR(__xludf.DUMMYFUNCTION("""COMPUTED_VALUE"""),"NJ")</f>
        <v>NJ</v>
      </c>
      <c r="D35" s="6" t="str">
        <f ca="1">IFERROR(__xludf.DUMMYFUNCTION("""COMPUTED_VALUE"""),"50m 3x20 H6")</f>
        <v>50m 3x20 H6</v>
      </c>
      <c r="E35" s="6" t="str">
        <f ca="1">IFERROR(__xludf.DUMMYFUNCTION("""COMPUTED_VALUE"""),"Võistkond")</f>
        <v>Võistkond</v>
      </c>
      <c r="F35" s="6" t="str">
        <f ca="1">IFERROR(__xludf.DUMMYFUNCTION("""COMPUTED_VALUE"""),"09.09.23")</f>
        <v>09.09.23</v>
      </c>
      <c r="G35" s="6">
        <f ca="1">IFERROR(__xludf.DUMMYFUNCTION("""COMPUTED_VALUE"""),86)</f>
        <v>86</v>
      </c>
      <c r="H35" s="6">
        <f ca="1">IFERROR(__xludf.DUMMYFUNCTION("""COMPUTED_VALUE"""),86)</f>
        <v>86</v>
      </c>
      <c r="I35" s="6">
        <f ca="1">IFERROR(__xludf.DUMMYFUNCTION("""COMPUTED_VALUE"""),91)</f>
        <v>91</v>
      </c>
      <c r="J35" s="6">
        <f ca="1">IFERROR(__xludf.DUMMYFUNCTION("""COMPUTED_VALUE"""),90)</f>
        <v>90</v>
      </c>
      <c r="K35" s="6">
        <f ca="1">IFERROR(__xludf.DUMMYFUNCTION("""COMPUTED_VALUE"""),63)</f>
        <v>63</v>
      </c>
      <c r="L35" s="6">
        <f ca="1">IFERROR(__xludf.DUMMYFUNCTION("""COMPUTED_VALUE"""),74)</f>
        <v>74</v>
      </c>
      <c r="M35" s="6">
        <f ca="1">IFERROR(__xludf.DUMMYFUNCTION("""COMPUTED_VALUE"""),490)</f>
        <v>490</v>
      </c>
      <c r="N35" s="6">
        <f ca="1">IFERROR(__xludf.DUMMYFUNCTION("""COMPUTED_VALUE"""),245)</f>
        <v>245</v>
      </c>
    </row>
    <row r="36" spans="1:14" ht="12.75">
      <c r="A36" s="6" t="str">
        <f ca="1">IFERROR(__xludf.DUMMYFUNCTION("""COMPUTED_VALUE"""),"Argo Larionov")</f>
        <v>Argo Larionov</v>
      </c>
      <c r="B36" s="6" t="str">
        <f ca="1">IFERROR(__xludf.DUMMYFUNCTION("""COMPUTED_VALUE"""),"Viru")</f>
        <v>Viru</v>
      </c>
      <c r="C36" s="6" t="str">
        <f ca="1">IFERROR(__xludf.DUMMYFUNCTION("""COMPUTED_VALUE"""),"MJ")</f>
        <v>MJ</v>
      </c>
      <c r="D36" s="6" t="str">
        <f ca="1">IFERROR(__xludf.DUMMYFUNCTION("""COMPUTED_VALUE"""),"50m 3x20 H6")</f>
        <v>50m 3x20 H6</v>
      </c>
      <c r="E36" s="6" t="str">
        <f ca="1">IFERROR(__xludf.DUMMYFUNCTION("""COMPUTED_VALUE"""),"Võistkond")</f>
        <v>Võistkond</v>
      </c>
      <c r="F36" s="6" t="str">
        <f ca="1">IFERROR(__xludf.DUMMYFUNCTION("""COMPUTED_VALUE"""),"10.09.23")</f>
        <v>10.09.23</v>
      </c>
      <c r="G36" s="6">
        <f ca="1">IFERROR(__xludf.DUMMYFUNCTION("""COMPUTED_VALUE"""),81)</f>
        <v>81</v>
      </c>
      <c r="H36" s="6">
        <f ca="1">IFERROR(__xludf.DUMMYFUNCTION("""COMPUTED_VALUE"""),88)</f>
        <v>88</v>
      </c>
      <c r="I36" s="6">
        <f ca="1">IFERROR(__xludf.DUMMYFUNCTION("""COMPUTED_VALUE"""),93)</f>
        <v>93</v>
      </c>
      <c r="J36" s="6">
        <f ca="1">IFERROR(__xludf.DUMMYFUNCTION("""COMPUTED_VALUE"""),89)</f>
        <v>89</v>
      </c>
      <c r="K36" s="6">
        <f ca="1">IFERROR(__xludf.DUMMYFUNCTION("""COMPUTED_VALUE"""),68)</f>
        <v>68</v>
      </c>
      <c r="L36" s="6">
        <f ca="1">IFERROR(__xludf.DUMMYFUNCTION("""COMPUTED_VALUE"""),71)</f>
        <v>71</v>
      </c>
      <c r="M36" s="6">
        <f ca="1">IFERROR(__xludf.DUMMYFUNCTION("""COMPUTED_VALUE"""),490)</f>
        <v>490</v>
      </c>
      <c r="N36" s="6">
        <f ca="1">IFERROR(__xludf.DUMMYFUNCTION("""COMPUTED_VALUE"""),245)</f>
        <v>245</v>
      </c>
    </row>
    <row r="37" spans="1:14" ht="12.75">
      <c r="A37" s="6" t="str">
        <f ca="1">IFERROR(__xludf.DUMMYFUNCTION("""COMPUTED_VALUE"""),"Robi Abel")</f>
        <v>Robi Abel</v>
      </c>
      <c r="B37" s="6" t="str">
        <f ca="1">IFERROR(__xludf.DUMMYFUNCTION("""COMPUTED_VALUE"""),"Järva")</f>
        <v>Järva</v>
      </c>
      <c r="C37" s="6" t="str">
        <f ca="1">IFERROR(__xludf.DUMMYFUNCTION("""COMPUTED_VALUE"""),"MJ")</f>
        <v>MJ</v>
      </c>
      <c r="D37" s="6" t="str">
        <f ca="1">IFERROR(__xludf.DUMMYFUNCTION("""COMPUTED_VALUE"""),"50m 3x20 H6")</f>
        <v>50m 3x20 H6</v>
      </c>
      <c r="E37" s="6" t="str">
        <f ca="1">IFERROR(__xludf.DUMMYFUNCTION("""COMPUTED_VALUE"""),"Võistkond")</f>
        <v>Võistkond</v>
      </c>
      <c r="F37" s="6" t="str">
        <f ca="1">IFERROR(__xludf.DUMMYFUNCTION("""COMPUTED_VALUE"""),"09.09.23")</f>
        <v>09.09.23</v>
      </c>
      <c r="G37" s="6">
        <f ca="1">IFERROR(__xludf.DUMMYFUNCTION("""COMPUTED_VALUE"""),75)</f>
        <v>75</v>
      </c>
      <c r="H37" s="6">
        <f ca="1">IFERROR(__xludf.DUMMYFUNCTION("""COMPUTED_VALUE"""),76)</f>
        <v>76</v>
      </c>
      <c r="I37" s="6">
        <f ca="1">IFERROR(__xludf.DUMMYFUNCTION("""COMPUTED_VALUE"""),94)</f>
        <v>94</v>
      </c>
      <c r="J37" s="6">
        <f ca="1">IFERROR(__xludf.DUMMYFUNCTION("""COMPUTED_VALUE"""),92)</f>
        <v>92</v>
      </c>
      <c r="K37" s="6">
        <f ca="1">IFERROR(__xludf.DUMMYFUNCTION("""COMPUTED_VALUE"""),76)</f>
        <v>76</v>
      </c>
      <c r="L37" s="6">
        <f ca="1">IFERROR(__xludf.DUMMYFUNCTION("""COMPUTED_VALUE"""),74)</f>
        <v>74</v>
      </c>
      <c r="M37" s="6">
        <f ca="1">IFERROR(__xludf.DUMMYFUNCTION("""COMPUTED_VALUE"""),487)</f>
        <v>487</v>
      </c>
      <c r="N37" s="6">
        <f ca="1">IFERROR(__xludf.DUMMYFUNCTION("""COMPUTED_VALUE"""),243.5)</f>
        <v>243.5</v>
      </c>
    </row>
    <row r="38" spans="1:14" ht="12.75">
      <c r="A38" s="6" t="str">
        <f ca="1">IFERROR(__xludf.DUMMYFUNCTION("""COMPUTED_VALUE"""),"Sigrid Lutsar")</f>
        <v>Sigrid Lutsar</v>
      </c>
      <c r="B38" s="6" t="str">
        <f ca="1">IFERROR(__xludf.DUMMYFUNCTION("""COMPUTED_VALUE"""),"Põlva")</f>
        <v>Põlva</v>
      </c>
      <c r="C38" s="6" t="str">
        <f ca="1">IFERROR(__xludf.DUMMYFUNCTION("""COMPUTED_VALUE"""),"N")</f>
        <v>N</v>
      </c>
      <c r="D38" s="6" t="str">
        <f ca="1">IFERROR(__xludf.DUMMYFUNCTION("""COMPUTED_VALUE"""),"50m 3x20 H6")</f>
        <v>50m 3x20 H6</v>
      </c>
      <c r="E38" s="6" t="str">
        <f ca="1">IFERROR(__xludf.DUMMYFUNCTION("""COMPUTED_VALUE"""),"Võistkond")</f>
        <v>Võistkond</v>
      </c>
      <c r="F38" s="6" t="str">
        <f ca="1">IFERROR(__xludf.DUMMYFUNCTION("""COMPUTED_VALUE"""),"10.09.23")</f>
        <v>10.09.23</v>
      </c>
      <c r="G38" s="6">
        <f ca="1">IFERROR(__xludf.DUMMYFUNCTION("""COMPUTED_VALUE"""),84)</f>
        <v>84</v>
      </c>
      <c r="H38" s="6">
        <f ca="1">IFERROR(__xludf.DUMMYFUNCTION("""COMPUTED_VALUE"""),79)</f>
        <v>79</v>
      </c>
      <c r="I38" s="6">
        <f ca="1">IFERROR(__xludf.DUMMYFUNCTION("""COMPUTED_VALUE"""),92)</f>
        <v>92</v>
      </c>
      <c r="J38" s="6">
        <f ca="1">IFERROR(__xludf.DUMMYFUNCTION("""COMPUTED_VALUE"""),91)</f>
        <v>91</v>
      </c>
      <c r="K38" s="6">
        <f ca="1">IFERROR(__xludf.DUMMYFUNCTION("""COMPUTED_VALUE"""),71)</f>
        <v>71</v>
      </c>
      <c r="L38" s="6">
        <f ca="1">IFERROR(__xludf.DUMMYFUNCTION("""COMPUTED_VALUE"""),68)</f>
        <v>68</v>
      </c>
      <c r="M38" s="6">
        <f ca="1">IFERROR(__xludf.DUMMYFUNCTION("""COMPUTED_VALUE"""),485)</f>
        <v>485</v>
      </c>
      <c r="N38" s="6">
        <f ca="1">IFERROR(__xludf.DUMMYFUNCTION("""COMPUTED_VALUE"""),242.5)</f>
        <v>242.5</v>
      </c>
    </row>
    <row r="39" spans="1:14" ht="12.75">
      <c r="A39" s="6" t="str">
        <f ca="1">IFERROR(__xludf.DUMMYFUNCTION("""COMPUTED_VALUE"""),"Keio Essa")</f>
        <v>Keio Essa</v>
      </c>
      <c r="B39" s="6" t="str">
        <f ca="1">IFERROR(__xludf.DUMMYFUNCTION("""COMPUTED_VALUE"""),"Tartu")</f>
        <v>Tartu</v>
      </c>
      <c r="C39" s="6" t="str">
        <f ca="1">IFERROR(__xludf.DUMMYFUNCTION("""COMPUTED_VALUE"""),"MJ")</f>
        <v>MJ</v>
      </c>
      <c r="D39" s="6" t="str">
        <f ca="1">IFERROR(__xludf.DUMMYFUNCTION("""COMPUTED_VALUE"""),"50m 3x20 H6")</f>
        <v>50m 3x20 H6</v>
      </c>
      <c r="E39" s="6" t="str">
        <f ca="1">IFERROR(__xludf.DUMMYFUNCTION("""COMPUTED_VALUE"""),"Võistkond")</f>
        <v>Võistkond</v>
      </c>
      <c r="F39" s="6" t="str">
        <f ca="1">IFERROR(__xludf.DUMMYFUNCTION("""COMPUTED_VALUE"""),"10.09.23")</f>
        <v>10.09.23</v>
      </c>
      <c r="G39" s="6">
        <f ca="1">IFERROR(__xludf.DUMMYFUNCTION("""COMPUTED_VALUE"""),80)</f>
        <v>80</v>
      </c>
      <c r="H39" s="6">
        <f ca="1">IFERROR(__xludf.DUMMYFUNCTION("""COMPUTED_VALUE"""),87)</f>
        <v>87</v>
      </c>
      <c r="I39" s="6">
        <f ca="1">IFERROR(__xludf.DUMMYFUNCTION("""COMPUTED_VALUE"""),94)</f>
        <v>94</v>
      </c>
      <c r="J39" s="6">
        <f ca="1">IFERROR(__xludf.DUMMYFUNCTION("""COMPUTED_VALUE"""),91)</f>
        <v>91</v>
      </c>
      <c r="K39" s="6">
        <f ca="1">IFERROR(__xludf.DUMMYFUNCTION("""COMPUTED_VALUE"""),64)</f>
        <v>64</v>
      </c>
      <c r="L39" s="6">
        <f ca="1">IFERROR(__xludf.DUMMYFUNCTION("""COMPUTED_VALUE"""),59)</f>
        <v>59</v>
      </c>
      <c r="M39" s="6">
        <f ca="1">IFERROR(__xludf.DUMMYFUNCTION("""COMPUTED_VALUE"""),475)</f>
        <v>475</v>
      </c>
      <c r="N39" s="6">
        <f ca="1">IFERROR(__xludf.DUMMYFUNCTION("""COMPUTED_VALUE"""),237.5)</f>
        <v>237.5</v>
      </c>
    </row>
    <row r="40" spans="1:14" ht="12.75">
      <c r="A40" s="6" t="str">
        <f ca="1">IFERROR(__xludf.DUMMYFUNCTION("""COMPUTED_VALUE"""),"Ave Larionova")</f>
        <v>Ave Larionova</v>
      </c>
      <c r="B40" s="6" t="str">
        <f ca="1">IFERROR(__xludf.DUMMYFUNCTION("""COMPUTED_VALUE"""),"Lääne")</f>
        <v>Lääne</v>
      </c>
      <c r="C40" s="6" t="str">
        <f ca="1">IFERROR(__xludf.DUMMYFUNCTION("""COMPUTED_VALUE"""),"N")</f>
        <v>N</v>
      </c>
      <c r="D40" s="6" t="str">
        <f ca="1">IFERROR(__xludf.DUMMYFUNCTION("""COMPUTED_VALUE"""),"50m 3x20 H6")</f>
        <v>50m 3x20 H6</v>
      </c>
      <c r="E40" s="6" t="str">
        <f ca="1">IFERROR(__xludf.DUMMYFUNCTION("""COMPUTED_VALUE"""),"Võistkond")</f>
        <v>Võistkond</v>
      </c>
      <c r="F40" s="6" t="str">
        <f ca="1">IFERROR(__xludf.DUMMYFUNCTION("""COMPUTED_VALUE"""),"10.09.23")</f>
        <v>10.09.23</v>
      </c>
      <c r="G40" s="6">
        <f ca="1">IFERROR(__xludf.DUMMYFUNCTION("""COMPUTED_VALUE"""),74)</f>
        <v>74</v>
      </c>
      <c r="H40" s="6">
        <f ca="1">IFERROR(__xludf.DUMMYFUNCTION("""COMPUTED_VALUE"""),77)</f>
        <v>77</v>
      </c>
      <c r="I40" s="6">
        <f ca="1">IFERROR(__xludf.DUMMYFUNCTION("""COMPUTED_VALUE"""),91)</f>
        <v>91</v>
      </c>
      <c r="J40" s="6">
        <f ca="1">IFERROR(__xludf.DUMMYFUNCTION("""COMPUTED_VALUE"""),93)</f>
        <v>93</v>
      </c>
      <c r="K40" s="6">
        <f ca="1">IFERROR(__xludf.DUMMYFUNCTION("""COMPUTED_VALUE"""),71)</f>
        <v>71</v>
      </c>
      <c r="L40" s="6">
        <f ca="1">IFERROR(__xludf.DUMMYFUNCTION("""COMPUTED_VALUE"""),58)</f>
        <v>58</v>
      </c>
      <c r="M40" s="6">
        <f ca="1">IFERROR(__xludf.DUMMYFUNCTION("""COMPUTED_VALUE"""),464)</f>
        <v>464</v>
      </c>
      <c r="N40" s="6">
        <f ca="1">IFERROR(__xludf.DUMMYFUNCTION("""COMPUTED_VALUE"""),232)</f>
        <v>232</v>
      </c>
    </row>
    <row r="41" spans="1:14" ht="12.75">
      <c r="A41" s="6" t="str">
        <f ca="1">IFERROR(__xludf.DUMMYFUNCTION("""COMPUTED_VALUE"""),"Gertlin Kanarbik")</f>
        <v>Gertlin Kanarbik</v>
      </c>
      <c r="B41" s="6" t="str">
        <f ca="1">IFERROR(__xludf.DUMMYFUNCTION("""COMPUTED_VALUE"""),"Lääne")</f>
        <v>Lääne</v>
      </c>
      <c r="C41" s="6" t="str">
        <f ca="1">IFERROR(__xludf.DUMMYFUNCTION("""COMPUTED_VALUE"""),"NJ")</f>
        <v>NJ</v>
      </c>
      <c r="D41" s="6" t="str">
        <f ca="1">IFERROR(__xludf.DUMMYFUNCTION("""COMPUTED_VALUE"""),"50m 3x20 H6")</f>
        <v>50m 3x20 H6</v>
      </c>
      <c r="E41" s="6" t="str">
        <f ca="1">IFERROR(__xludf.DUMMYFUNCTION("""COMPUTED_VALUE"""),"Võistkond")</f>
        <v>Võistkond</v>
      </c>
      <c r="F41" s="6" t="str">
        <f ca="1">IFERROR(__xludf.DUMMYFUNCTION("""COMPUTED_VALUE"""),"10.09.23")</f>
        <v>10.09.23</v>
      </c>
      <c r="G41" s="6">
        <f ca="1">IFERROR(__xludf.DUMMYFUNCTION("""COMPUTED_VALUE"""),84)</f>
        <v>84</v>
      </c>
      <c r="H41" s="6">
        <f ca="1">IFERROR(__xludf.DUMMYFUNCTION("""COMPUTED_VALUE"""),77)</f>
        <v>77</v>
      </c>
      <c r="I41" s="6">
        <f ca="1">IFERROR(__xludf.DUMMYFUNCTION("""COMPUTED_VALUE"""),83)</f>
        <v>83</v>
      </c>
      <c r="J41" s="6">
        <f ca="1">IFERROR(__xludf.DUMMYFUNCTION("""COMPUTED_VALUE"""),85)</f>
        <v>85</v>
      </c>
      <c r="K41" s="6">
        <f ca="1">IFERROR(__xludf.DUMMYFUNCTION("""COMPUTED_VALUE"""),51)</f>
        <v>51</v>
      </c>
      <c r="L41" s="6">
        <f ca="1">IFERROR(__xludf.DUMMYFUNCTION("""COMPUTED_VALUE"""),74)</f>
        <v>74</v>
      </c>
      <c r="M41" s="6">
        <f ca="1">IFERROR(__xludf.DUMMYFUNCTION("""COMPUTED_VALUE"""),454)</f>
        <v>454</v>
      </c>
      <c r="N41" s="6">
        <f ca="1">IFERROR(__xludf.DUMMYFUNCTION("""COMPUTED_VALUE"""),227)</f>
        <v>227</v>
      </c>
    </row>
    <row r="42" spans="1:14" ht="12.75">
      <c r="A42" s="6" t="str">
        <f ca="1">IFERROR(__xludf.DUMMYFUNCTION("""COMPUTED_VALUE"""),"Reimo Jürjo")</f>
        <v>Reimo Jürjo</v>
      </c>
      <c r="B42" s="6" t="str">
        <f ca="1">IFERROR(__xludf.DUMMYFUNCTION("""COMPUTED_VALUE"""),"Sakala")</f>
        <v>Sakala</v>
      </c>
      <c r="C42" s="6" t="str">
        <f ca="1">IFERROR(__xludf.DUMMYFUNCTION("""COMPUTED_VALUE"""),"MJ")</f>
        <v>MJ</v>
      </c>
      <c r="D42" s="6" t="str">
        <f ca="1">IFERROR(__xludf.DUMMYFUNCTION("""COMPUTED_VALUE"""),"50m 3x20 H6")</f>
        <v>50m 3x20 H6</v>
      </c>
      <c r="E42" s="6" t="str">
        <f ca="1">IFERROR(__xludf.DUMMYFUNCTION("""COMPUTED_VALUE"""),"Võistkond")</f>
        <v>Võistkond</v>
      </c>
      <c r="F42" s="6" t="str">
        <f ca="1">IFERROR(__xludf.DUMMYFUNCTION("""COMPUTED_VALUE"""),"10.09.23")</f>
        <v>10.09.23</v>
      </c>
      <c r="G42" s="6">
        <f ca="1">IFERROR(__xludf.DUMMYFUNCTION("""COMPUTED_VALUE"""),87)</f>
        <v>87</v>
      </c>
      <c r="H42" s="6">
        <f ca="1">IFERROR(__xludf.DUMMYFUNCTION("""COMPUTED_VALUE"""),75)</f>
        <v>75</v>
      </c>
      <c r="I42" s="6">
        <f ca="1">IFERROR(__xludf.DUMMYFUNCTION("""COMPUTED_VALUE"""),92)</f>
        <v>92</v>
      </c>
      <c r="J42" s="6">
        <f ca="1">IFERROR(__xludf.DUMMYFUNCTION("""COMPUTED_VALUE"""),88)</f>
        <v>88</v>
      </c>
      <c r="K42" s="6">
        <f ca="1">IFERROR(__xludf.DUMMYFUNCTION("""COMPUTED_VALUE"""),59)</f>
        <v>59</v>
      </c>
      <c r="L42" s="6">
        <f ca="1">IFERROR(__xludf.DUMMYFUNCTION("""COMPUTED_VALUE"""),53)</f>
        <v>53</v>
      </c>
      <c r="M42" s="6">
        <f ca="1">IFERROR(__xludf.DUMMYFUNCTION("""COMPUTED_VALUE"""),454)</f>
        <v>454</v>
      </c>
      <c r="N42" s="6">
        <f ca="1">IFERROR(__xludf.DUMMYFUNCTION("""COMPUTED_VALUE"""),227)</f>
        <v>227</v>
      </c>
    </row>
    <row r="43" spans="1:14" ht="12.75">
      <c r="A43" s="6" t="str">
        <f ca="1">IFERROR(__xludf.DUMMYFUNCTION("""COMPUTED_VALUE"""),"Kedy Kopti")</f>
        <v>Kedy Kopti</v>
      </c>
      <c r="B43" s="6" t="str">
        <f ca="1">IFERROR(__xludf.DUMMYFUNCTION("""COMPUTED_VALUE"""),"Järva")</f>
        <v>Järva</v>
      </c>
      <c r="C43" s="6" t="str">
        <f ca="1">IFERROR(__xludf.DUMMYFUNCTION("""COMPUTED_VALUE"""),"NJ")</f>
        <v>NJ</v>
      </c>
      <c r="D43" s="6" t="str">
        <f ca="1">IFERROR(__xludf.DUMMYFUNCTION("""COMPUTED_VALUE"""),"50m 3x20 H6")</f>
        <v>50m 3x20 H6</v>
      </c>
      <c r="E43" s="6" t="str">
        <f ca="1">IFERROR(__xludf.DUMMYFUNCTION("""COMPUTED_VALUE"""),"Võistkond")</f>
        <v>Võistkond</v>
      </c>
      <c r="F43" s="6" t="str">
        <f ca="1">IFERROR(__xludf.DUMMYFUNCTION("""COMPUTED_VALUE"""),"09.09.23")</f>
        <v>09.09.23</v>
      </c>
      <c r="G43" s="6">
        <f ca="1">IFERROR(__xludf.DUMMYFUNCTION("""COMPUTED_VALUE"""),72)</f>
        <v>72</v>
      </c>
      <c r="H43" s="6">
        <f ca="1">IFERROR(__xludf.DUMMYFUNCTION("""COMPUTED_VALUE"""),76)</f>
        <v>76</v>
      </c>
      <c r="I43" s="6">
        <f ca="1">IFERROR(__xludf.DUMMYFUNCTION("""COMPUTED_VALUE"""),86)</f>
        <v>86</v>
      </c>
      <c r="J43" s="6">
        <f ca="1">IFERROR(__xludf.DUMMYFUNCTION("""COMPUTED_VALUE"""),95)</f>
        <v>95</v>
      </c>
      <c r="K43" s="6">
        <f ca="1">IFERROR(__xludf.DUMMYFUNCTION("""COMPUTED_VALUE"""),61)</f>
        <v>61</v>
      </c>
      <c r="L43" s="6">
        <f ca="1">IFERROR(__xludf.DUMMYFUNCTION("""COMPUTED_VALUE"""),50)</f>
        <v>50</v>
      </c>
      <c r="M43" s="6">
        <f ca="1">IFERROR(__xludf.DUMMYFUNCTION("""COMPUTED_VALUE"""),440)</f>
        <v>440</v>
      </c>
      <c r="N43" s="6">
        <f ca="1">IFERROR(__xludf.DUMMYFUNCTION("""COMPUTED_VALUE"""),220)</f>
        <v>220</v>
      </c>
    </row>
    <row r="44" spans="1:14" ht="12.75">
      <c r="A44" s="6" t="str">
        <f ca="1">IFERROR(__xludf.DUMMYFUNCTION("""COMPUTED_VALUE"""),"Martin Sinisaar")</f>
        <v>Martin Sinisaar</v>
      </c>
      <c r="B44" s="6" t="str">
        <f ca="1">IFERROR(__xludf.DUMMYFUNCTION("""COMPUTED_VALUE"""),"Lääne")</f>
        <v>Lääne</v>
      </c>
      <c r="C44" s="6" t="str">
        <f ca="1">IFERROR(__xludf.DUMMYFUNCTION("""COMPUTED_VALUE"""),"MJ")</f>
        <v>MJ</v>
      </c>
      <c r="D44" s="6" t="str">
        <f ca="1">IFERROR(__xludf.DUMMYFUNCTION("""COMPUTED_VALUE"""),"50m 3x20 H6")</f>
        <v>50m 3x20 H6</v>
      </c>
      <c r="E44" s="6" t="str">
        <f ca="1">IFERROR(__xludf.DUMMYFUNCTION("""COMPUTED_VALUE"""),"Võistkond")</f>
        <v>Võistkond</v>
      </c>
      <c r="F44" s="6" t="str">
        <f ca="1">IFERROR(__xludf.DUMMYFUNCTION("""COMPUTED_VALUE"""),"10.09.23")</f>
        <v>10.09.23</v>
      </c>
      <c r="G44" s="6">
        <f ca="1">IFERROR(__xludf.DUMMYFUNCTION("""COMPUTED_VALUE"""),82)</f>
        <v>82</v>
      </c>
      <c r="H44" s="6">
        <f ca="1">IFERROR(__xludf.DUMMYFUNCTION("""COMPUTED_VALUE"""),85)</f>
        <v>85</v>
      </c>
      <c r="I44" s="6">
        <f ca="1">IFERROR(__xludf.DUMMYFUNCTION("""COMPUTED_VALUE"""),83)</f>
        <v>83</v>
      </c>
      <c r="J44" s="6">
        <f ca="1">IFERROR(__xludf.DUMMYFUNCTION("""COMPUTED_VALUE"""),80)</f>
        <v>80</v>
      </c>
      <c r="K44" s="6">
        <f ca="1">IFERROR(__xludf.DUMMYFUNCTION("""COMPUTED_VALUE"""),38)</f>
        <v>38</v>
      </c>
      <c r="L44" s="6">
        <f ca="1">IFERROR(__xludf.DUMMYFUNCTION("""COMPUTED_VALUE"""),47)</f>
        <v>47</v>
      </c>
      <c r="M44" s="6">
        <f ca="1">IFERROR(__xludf.DUMMYFUNCTION("""COMPUTED_VALUE"""),415)</f>
        <v>415</v>
      </c>
      <c r="N44" s="6">
        <f ca="1">IFERROR(__xludf.DUMMYFUNCTION("""COMPUTED_VALUE"""),207.5)</f>
        <v>207.5</v>
      </c>
    </row>
    <row r="45" spans="1:14" ht="12.75">
      <c r="A45" s="6" t="str">
        <f ca="1">IFERROR(__xludf.DUMMYFUNCTION("""COMPUTED_VALUE"""),"Katrin Kaarna")</f>
        <v>Katrin Kaarna</v>
      </c>
      <c r="B45" s="6" t="str">
        <f ca="1">IFERROR(__xludf.DUMMYFUNCTION("""COMPUTED_VALUE"""),"Võrumaa")</f>
        <v>Võrumaa</v>
      </c>
      <c r="C45" s="6" t="str">
        <f ca="1">IFERROR(__xludf.DUMMYFUNCTION("""COMPUTED_VALUE"""),"NJ")</f>
        <v>NJ</v>
      </c>
      <c r="D45" s="6" t="str">
        <f ca="1">IFERROR(__xludf.DUMMYFUNCTION("""COMPUTED_VALUE"""),"50m 3x20 H6")</f>
        <v>50m 3x20 H6</v>
      </c>
      <c r="E45" s="6" t="str">
        <f ca="1">IFERROR(__xludf.DUMMYFUNCTION("""COMPUTED_VALUE"""),"Võistkond")</f>
        <v>Võistkond</v>
      </c>
      <c r="F45" s="6" t="str">
        <f ca="1">IFERROR(__xludf.DUMMYFUNCTION("""COMPUTED_VALUE"""),"10.09.23")</f>
        <v>10.09.23</v>
      </c>
      <c r="G45" s="6">
        <f ca="1">IFERROR(__xludf.DUMMYFUNCTION("""COMPUTED_VALUE"""),71)</f>
        <v>71</v>
      </c>
      <c r="H45" s="6">
        <f ca="1">IFERROR(__xludf.DUMMYFUNCTION("""COMPUTED_VALUE"""),67)</f>
        <v>67</v>
      </c>
      <c r="I45" s="6">
        <f ca="1">IFERROR(__xludf.DUMMYFUNCTION("""COMPUTED_VALUE"""),84)</f>
        <v>84</v>
      </c>
      <c r="J45" s="6">
        <f ca="1">IFERROR(__xludf.DUMMYFUNCTION("""COMPUTED_VALUE"""),80)</f>
        <v>80</v>
      </c>
      <c r="K45" s="6">
        <f ca="1">IFERROR(__xludf.DUMMYFUNCTION("""COMPUTED_VALUE"""),59)</f>
        <v>59</v>
      </c>
      <c r="L45" s="6">
        <f ca="1">IFERROR(__xludf.DUMMYFUNCTION("""COMPUTED_VALUE"""),45)</f>
        <v>45</v>
      </c>
      <c r="M45" s="6">
        <f ca="1">IFERROR(__xludf.DUMMYFUNCTION("""COMPUTED_VALUE"""),406)</f>
        <v>406</v>
      </c>
      <c r="N45" s="6">
        <f ca="1">IFERROR(__xludf.DUMMYFUNCTION("""COMPUTED_VALUE"""),203)</f>
        <v>203</v>
      </c>
    </row>
    <row r="46" spans="1:14" ht="12.75">
      <c r="A46" s="6" t="str">
        <f ca="1">IFERROR(__xludf.DUMMYFUNCTION("""COMPUTED_VALUE"""),"Mikk Mustmaa")</f>
        <v>Mikk Mustmaa</v>
      </c>
      <c r="B46" s="6" t="str">
        <f ca="1">IFERROR(__xludf.DUMMYFUNCTION("""COMPUTED_VALUE"""),"Võrumaa")</f>
        <v>Võrumaa</v>
      </c>
      <c r="C46" s="6" t="str">
        <f ca="1">IFERROR(__xludf.DUMMYFUNCTION("""COMPUTED_VALUE"""),"M")</f>
        <v>M</v>
      </c>
      <c r="D46" s="6" t="str">
        <f ca="1">IFERROR(__xludf.DUMMYFUNCTION("""COMPUTED_VALUE"""),"50m 3x20 H6")</f>
        <v>50m 3x20 H6</v>
      </c>
      <c r="E46" s="6" t="str">
        <f ca="1">IFERROR(__xludf.DUMMYFUNCTION("""COMPUTED_VALUE"""),"Võistkond")</f>
        <v>Võistkond</v>
      </c>
      <c r="F46" s="6" t="str">
        <f ca="1">IFERROR(__xludf.DUMMYFUNCTION("""COMPUTED_VALUE"""),"10.09.23")</f>
        <v>10.09.23</v>
      </c>
      <c r="G46" s="6">
        <f ca="1">IFERROR(__xludf.DUMMYFUNCTION("""COMPUTED_VALUE"""),63)</f>
        <v>63</v>
      </c>
      <c r="H46" s="6">
        <f ca="1">IFERROR(__xludf.DUMMYFUNCTION("""COMPUTED_VALUE"""),54)</f>
        <v>54</v>
      </c>
      <c r="I46" s="6">
        <f ca="1">IFERROR(__xludf.DUMMYFUNCTION("""COMPUTED_VALUE"""),89)</f>
        <v>89</v>
      </c>
      <c r="J46" s="6">
        <f ca="1">IFERROR(__xludf.DUMMYFUNCTION("""COMPUTED_VALUE"""),89)</f>
        <v>89</v>
      </c>
      <c r="K46" s="6">
        <f ca="1">IFERROR(__xludf.DUMMYFUNCTION("""COMPUTED_VALUE"""),43)</f>
        <v>43</v>
      </c>
      <c r="L46" s="6">
        <f ca="1">IFERROR(__xludf.DUMMYFUNCTION("""COMPUTED_VALUE"""),58)</f>
        <v>58</v>
      </c>
      <c r="M46" s="6">
        <f ca="1">IFERROR(__xludf.DUMMYFUNCTION("""COMPUTED_VALUE"""),396)</f>
        <v>396</v>
      </c>
      <c r="N46" s="6">
        <f ca="1">IFERROR(__xludf.DUMMYFUNCTION("""COMPUTED_VALUE"""),198)</f>
        <v>198</v>
      </c>
    </row>
    <row r="47" spans="1:14" ht="12.75">
      <c r="A47" s="6" t="str">
        <f ca="1">IFERROR(__xludf.DUMMYFUNCTION("""COMPUTED_VALUE"""),"Anete Mozgovoi")</f>
        <v>Anete Mozgovoi</v>
      </c>
      <c r="B47" s="6" t="str">
        <f ca="1">IFERROR(__xludf.DUMMYFUNCTION("""COMPUTED_VALUE"""),"Sakala")</f>
        <v>Sakala</v>
      </c>
      <c r="C47" s="6" t="str">
        <f ca="1">IFERROR(__xludf.DUMMYFUNCTION("""COMPUTED_VALUE"""),"NJ")</f>
        <v>NJ</v>
      </c>
      <c r="D47" s="6" t="str">
        <f ca="1">IFERROR(__xludf.DUMMYFUNCTION("""COMPUTED_VALUE"""),"50m 3x20 H6")</f>
        <v>50m 3x20 H6</v>
      </c>
      <c r="E47" s="6" t="str">
        <f ca="1">IFERROR(__xludf.DUMMYFUNCTION("""COMPUTED_VALUE"""),"Võistkond")</f>
        <v>Võistkond</v>
      </c>
      <c r="F47" s="6" t="str">
        <f ca="1">IFERROR(__xludf.DUMMYFUNCTION("""COMPUTED_VALUE"""),"10.09.23")</f>
        <v>10.09.23</v>
      </c>
      <c r="G47" s="6">
        <f ca="1">IFERROR(__xludf.DUMMYFUNCTION("""COMPUTED_VALUE"""),74)</f>
        <v>74</v>
      </c>
      <c r="H47" s="6">
        <f ca="1">IFERROR(__xludf.DUMMYFUNCTION("""COMPUTED_VALUE"""),57)</f>
        <v>57</v>
      </c>
      <c r="I47" s="6">
        <f ca="1">IFERROR(__xludf.DUMMYFUNCTION("""COMPUTED_VALUE"""),81)</f>
        <v>81</v>
      </c>
      <c r="J47" s="6">
        <f ca="1">IFERROR(__xludf.DUMMYFUNCTION("""COMPUTED_VALUE"""),80)</f>
        <v>80</v>
      </c>
      <c r="K47" s="6">
        <f ca="1">IFERROR(__xludf.DUMMYFUNCTION("""COMPUTED_VALUE"""),48)</f>
        <v>48</v>
      </c>
      <c r="L47" s="6">
        <f ca="1">IFERROR(__xludf.DUMMYFUNCTION("""COMPUTED_VALUE"""),34)</f>
        <v>34</v>
      </c>
      <c r="M47" s="6">
        <f ca="1">IFERROR(__xludf.DUMMYFUNCTION("""COMPUTED_VALUE"""),374)</f>
        <v>374</v>
      </c>
      <c r="N47" s="6">
        <f ca="1">IFERROR(__xludf.DUMMYFUNCTION("""COMPUTED_VALUE"""),187)</f>
        <v>187</v>
      </c>
    </row>
    <row r="48" spans="1:14" ht="12.75">
      <c r="A48" s="6" t="str">
        <f ca="1">IFERROR(__xludf.DUMMYFUNCTION("""COMPUTED_VALUE"""),"Aili Vakker")</f>
        <v>Aili Vakker</v>
      </c>
      <c r="B48" s="6" t="str">
        <f ca="1">IFERROR(__xludf.DUMMYFUNCTION("""COMPUTED_VALUE"""),"Viru")</f>
        <v>Viru</v>
      </c>
      <c r="C48" s="6" t="str">
        <f ca="1">IFERROR(__xludf.DUMMYFUNCTION("""COMPUTED_VALUE"""),"N")</f>
        <v>N</v>
      </c>
      <c r="D48" s="6" t="str">
        <f ca="1">IFERROR(__xludf.DUMMYFUNCTION("""COMPUTED_VALUE"""),"50m 3x20 H6")</f>
        <v>50m 3x20 H6</v>
      </c>
      <c r="E48" s="6" t="str">
        <f ca="1">IFERROR(__xludf.DUMMYFUNCTION("""COMPUTED_VALUE"""),"Võistkond")</f>
        <v>Võistkond</v>
      </c>
      <c r="F48" s="6" t="str">
        <f ca="1">IFERROR(__xludf.DUMMYFUNCTION("""COMPUTED_VALUE"""),"10.09.23")</f>
        <v>10.09.23</v>
      </c>
      <c r="G48" s="6">
        <f ca="1">IFERROR(__xludf.DUMMYFUNCTION("""COMPUTED_VALUE"""),74)</f>
        <v>74</v>
      </c>
      <c r="H48" s="6">
        <f ca="1">IFERROR(__xludf.DUMMYFUNCTION("""COMPUTED_VALUE"""),68)</f>
        <v>68</v>
      </c>
      <c r="I48" s="6">
        <f ca="1">IFERROR(__xludf.DUMMYFUNCTION("""COMPUTED_VALUE"""),79)</f>
        <v>79</v>
      </c>
      <c r="J48" s="6">
        <f ca="1">IFERROR(__xludf.DUMMYFUNCTION("""COMPUTED_VALUE"""),71)</f>
        <v>71</v>
      </c>
      <c r="K48" s="6">
        <f ca="1">IFERROR(__xludf.DUMMYFUNCTION("""COMPUTED_VALUE"""),27)</f>
        <v>27</v>
      </c>
      <c r="L48" s="6">
        <f ca="1">IFERROR(__xludf.DUMMYFUNCTION("""COMPUTED_VALUE"""),33)</f>
        <v>33</v>
      </c>
      <c r="M48" s="6">
        <f ca="1">IFERROR(__xludf.DUMMYFUNCTION("""COMPUTED_VALUE"""),352)</f>
        <v>352</v>
      </c>
      <c r="N48" s="6">
        <f ca="1">IFERROR(__xludf.DUMMYFUNCTION("""COMPUTED_VALUE"""),176)</f>
        <v>176</v>
      </c>
    </row>
    <row r="49" spans="1:14" ht="12.75">
      <c r="A49" s="6" t="str">
        <f ca="1">IFERROR(__xludf.DUMMYFUNCTION("""COMPUTED_VALUE"""),"Mattias-Oliver Oja")</f>
        <v>Mattias-Oliver Oja</v>
      </c>
      <c r="B49" s="6" t="str">
        <f ca="1">IFERROR(__xludf.DUMMYFUNCTION("""COMPUTED_VALUE"""),"Võrumaa")</f>
        <v>Võrumaa</v>
      </c>
      <c r="C49" s="6" t="str">
        <f ca="1">IFERROR(__xludf.DUMMYFUNCTION("""COMPUTED_VALUE"""),"MJ")</f>
        <v>MJ</v>
      </c>
      <c r="D49" s="6" t="str">
        <f ca="1">IFERROR(__xludf.DUMMYFUNCTION("""COMPUTED_VALUE"""),"50m 3x20 H6")</f>
        <v>50m 3x20 H6</v>
      </c>
      <c r="E49" s="6" t="str">
        <f ca="1">IFERROR(__xludf.DUMMYFUNCTION("""COMPUTED_VALUE"""),"Võistkond")</f>
        <v>Võistkond</v>
      </c>
      <c r="F49" s="6" t="str">
        <f ca="1">IFERROR(__xludf.DUMMYFUNCTION("""COMPUTED_VALUE"""),"10.09.23")</f>
        <v>10.09.23</v>
      </c>
      <c r="G49" s="6">
        <f ca="1">IFERROR(__xludf.DUMMYFUNCTION("""COMPUTED_VALUE"""),52)</f>
        <v>52</v>
      </c>
      <c r="H49" s="6">
        <f ca="1">IFERROR(__xludf.DUMMYFUNCTION("""COMPUTED_VALUE"""),45)</f>
        <v>45</v>
      </c>
      <c r="I49" s="6">
        <f ca="1">IFERROR(__xludf.DUMMYFUNCTION("""COMPUTED_VALUE"""),85)</f>
        <v>85</v>
      </c>
      <c r="J49" s="6">
        <f ca="1">IFERROR(__xludf.DUMMYFUNCTION("""COMPUTED_VALUE"""),91)</f>
        <v>91</v>
      </c>
      <c r="K49" s="6">
        <f ca="1">IFERROR(__xludf.DUMMYFUNCTION("""COMPUTED_VALUE"""),30)</f>
        <v>30</v>
      </c>
      <c r="L49" s="6">
        <f ca="1">IFERROR(__xludf.DUMMYFUNCTION("""COMPUTED_VALUE"""),40)</f>
        <v>40</v>
      </c>
      <c r="M49" s="6">
        <f ca="1">IFERROR(__xludf.DUMMYFUNCTION("""COMPUTED_VALUE"""),343)</f>
        <v>343</v>
      </c>
      <c r="N49" s="6">
        <f ca="1">IFERROR(__xludf.DUMMYFUNCTION("""COMPUTED_VALUE"""),171.5)</f>
        <v>171.5</v>
      </c>
    </row>
  </sheetData>
  <customSheetViews>
    <customSheetView guid="{C6C5E855-7C77-4921-8F13-A733EE6303FA}" filter="1" showAutoFilter="1">
      <pageMargins left="0.7" right="0.7" top="0.75" bottom="0.75" header="0.3" footer="0.3"/>
      <autoFilter ref="A2:N1000" xr:uid="{85605C51-0170-40CD-ABD9-2592A58ED7A6}">
        <filterColumn colId="2">
          <filters blank="1">
            <filter val="M"/>
          </filters>
        </filterColumn>
        <filterColumn colId="3">
          <filters>
            <filter val="50m 3x20 H6"/>
          </filters>
        </filterColumn>
      </autoFilter>
    </customSheetView>
    <customSheetView guid="{B04617FD-E50F-4841-931A-69574658CB0A}" filter="1" showAutoFilter="1">
      <pageMargins left="0.7" right="0.7" top="0.75" bottom="0.75" header="0.3" footer="0.3"/>
      <autoFilter ref="A2:N1000" xr:uid="{E23CCC74-4E07-4D30-8AE0-A0C85702A4EC}">
        <filterColumn colId="2">
          <filters blank="1">
            <filter val="MJ"/>
          </filters>
        </filterColumn>
        <filterColumn colId="3">
          <filters>
            <filter val="50m 3x20 H6"/>
          </filters>
        </filterColumn>
      </autoFilter>
    </customSheetView>
    <customSheetView guid="{845FBECC-592C-4475-9184-0C9DD86A8A6D}" filter="1" showAutoFilter="1">
      <pageMargins left="0.7" right="0.7" top="0.75" bottom="0.75" header="0.3" footer="0.3"/>
      <autoFilter ref="A2:N1000" xr:uid="{CC501290-5BF7-48AE-8A57-AEE3629CFA33}">
        <filterColumn colId="2">
          <filters blank="1">
            <filter val="N"/>
          </filters>
        </filterColumn>
        <filterColumn colId="3">
          <filters>
            <filter val="50m 3x20 H6"/>
          </filters>
        </filterColumn>
      </autoFilter>
    </customSheetView>
    <customSheetView guid="{3D4A75E4-3A33-4619-B3A3-473B7FDA3612}" filter="1" showAutoFilter="1">
      <pageMargins left="0.7" right="0.7" top="0.75" bottom="0.75" header="0.3" footer="0.3"/>
      <autoFilter ref="A2:N1000" xr:uid="{4050F4DF-9E66-43F2-87CD-2491774E707E}">
        <filterColumn colId="2">
          <filters blank="1">
            <filter val="NJ"/>
          </filters>
        </filterColumn>
        <filterColumn colId="3">
          <filters>
            <filter val="50m 3x20 H6"/>
          </filters>
        </filterColumn>
      </autoFilter>
    </customSheetView>
  </customSheetViews>
  <mergeCells count="2">
    <mergeCell ref="C1:D1"/>
    <mergeCell ref="I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Võistkond</vt:lpstr>
      <vt:lpstr>Noored</vt:lpstr>
      <vt:lpstr>300m</vt:lpstr>
      <vt:lpstr>Leht6</vt:lpstr>
      <vt:lpstr>300m VABA</vt:lpstr>
      <vt:lpstr>200 m 2x10</vt:lpstr>
      <vt:lpstr>100m 3x10</vt:lpstr>
      <vt:lpstr>50m liikuv</vt:lpstr>
      <vt:lpstr>50m 3x20</vt:lpstr>
      <vt:lpstr>50m lamades</vt:lpstr>
      <vt:lpstr>25m 9,0mm</vt:lpstr>
      <vt:lpstr>25m .22 30+30 </vt:lpstr>
      <vt:lpstr>25m .22</vt:lpstr>
      <vt:lpstr>Mehed</vt:lpstr>
      <vt:lpstr>Naised</vt:lpstr>
      <vt:lpstr>Juunior M</vt:lpstr>
      <vt:lpstr>Juunior N</vt:lpstr>
      <vt:lpstr>Poisid</vt:lpstr>
      <vt:lpstr>Tüdrukud</vt:lpstr>
      <vt:lpstr>Üldarvestus</vt:lpstr>
      <vt:lpstr>StartList</vt:lpstr>
      <vt:lpstr>KKK</vt:lpstr>
      <vt:lpstr>Valikud</vt:lpstr>
      <vt:lpstr>ALA</vt:lpstr>
      <vt:lpstr>Nimekiri</vt:lpstr>
      <vt:lpstr>Osalejad</vt:lpstr>
      <vt:lpstr>Päised</vt:lpstr>
      <vt:lpstr>Võistleb</vt:lpstr>
      <vt:lpstr>Võistlusklass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Kuks</cp:lastModifiedBy>
  <dcterms:modified xsi:type="dcterms:W3CDTF">2023-09-12T08:13:48Z</dcterms:modified>
</cp:coreProperties>
</file>