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10RT 30+30" sheetId="1" r:id="rId1"/>
    <sheet name="Finaal" sheetId="2" r:id="rId2"/>
    <sheet name="10RT MIX" sheetId="3" r:id="rId3"/>
    <sheet name="Vstk" sheetId="4" r:id="rId4"/>
  </sheets>
  <definedNames/>
  <calcPr fullCalcOnLoad="1"/>
</workbook>
</file>

<file path=xl/sharedStrings.xml><?xml version="1.0" encoding="utf-8"?>
<sst xmlns="http://schemas.openxmlformats.org/spreadsheetml/2006/main" count="243" uniqueCount="80">
  <si>
    <t xml:space="preserve">Eesti karikavõistlus </t>
  </si>
  <si>
    <t>Liikuv märk</t>
  </si>
  <si>
    <t>17. dets. 2016 Elvas</t>
  </si>
  <si>
    <t>30+30l liikuv märk  mehed</t>
  </si>
  <si>
    <t>Koht</t>
  </si>
  <si>
    <t>Eesnimi</t>
  </si>
  <si>
    <t>Perenimi</t>
  </si>
  <si>
    <t>S.a.</t>
  </si>
  <si>
    <t>Klubi</t>
  </si>
  <si>
    <t>Aeglane jooks</t>
  </si>
  <si>
    <t>Kiire jooks</t>
  </si>
  <si>
    <t>∑</t>
  </si>
  <si>
    <t>KL</t>
  </si>
  <si>
    <t>I</t>
  </si>
  <si>
    <t>Arles</t>
  </si>
  <si>
    <t>TAAL</t>
  </si>
  <si>
    <t>Haapsalu SK</t>
  </si>
  <si>
    <t>III</t>
  </si>
  <si>
    <t>II</t>
  </si>
  <si>
    <t>Viljar</t>
  </si>
  <si>
    <t>NOOR</t>
  </si>
  <si>
    <t>KL MäLK</t>
  </si>
  <si>
    <t>Indrek</t>
  </si>
  <si>
    <t>TOMBAK</t>
  </si>
  <si>
    <t>Koeru LSK</t>
  </si>
  <si>
    <t>Toomas</t>
  </si>
  <si>
    <t>HALLIK</t>
  </si>
  <si>
    <t>ü.l.</t>
  </si>
  <si>
    <t>Endi</t>
  </si>
  <si>
    <t>TÕNISMA</t>
  </si>
  <si>
    <t>Hillar</t>
  </si>
  <si>
    <t>LOOT</t>
  </si>
  <si>
    <t>Elva LSK</t>
  </si>
  <si>
    <t>Jaanus</t>
  </si>
  <si>
    <t>MUGU</t>
  </si>
  <si>
    <t>Tarmo</t>
  </si>
  <si>
    <t>SUSS</t>
  </si>
  <si>
    <t>Väino</t>
  </si>
  <si>
    <t>ELLER</t>
  </si>
  <si>
    <t>Lauri</t>
  </si>
  <si>
    <t>KAARNA</t>
  </si>
  <si>
    <t>Elmet</t>
  </si>
  <si>
    <t>ORASSON</t>
  </si>
  <si>
    <t>VARBA</t>
  </si>
  <si>
    <t>Alar</t>
  </si>
  <si>
    <t>HEINSAAR</t>
  </si>
  <si>
    <t>Tõives</t>
  </si>
  <si>
    <t>RAUDSAAR</t>
  </si>
  <si>
    <t>Peakohtunik</t>
  </si>
  <si>
    <t>Tõives Raudsaar</t>
  </si>
  <si>
    <t>Arvestuskohtunik</t>
  </si>
  <si>
    <t>Elmet Orasson</t>
  </si>
  <si>
    <t>Tulejoon</t>
  </si>
  <si>
    <t>Aire Teiermanis</t>
  </si>
  <si>
    <t>Protokoll</t>
  </si>
  <si>
    <t>Liikuv märk, finaal</t>
  </si>
  <si>
    <t>V</t>
  </si>
  <si>
    <t>III - IV</t>
  </si>
  <si>
    <t>I - II</t>
  </si>
  <si>
    <t>fin III – IV</t>
  </si>
  <si>
    <t>IV</t>
  </si>
  <si>
    <t>fin I - II</t>
  </si>
  <si>
    <t>Finaalikohtunik</t>
  </si>
  <si>
    <t>Alar Heinsaar</t>
  </si>
  <si>
    <t>18. dets. 2016 Elvas</t>
  </si>
  <si>
    <t>20+20l mix (segajooksud), mehed</t>
  </si>
  <si>
    <t>Gennadi</t>
  </si>
  <si>
    <t>HANSEN</t>
  </si>
  <si>
    <t>17-18. dets. 2016 Elvas</t>
  </si>
  <si>
    <t>30+30l liikuv märk  võistkondlik</t>
  </si>
  <si>
    <t>Võistkond</t>
  </si>
  <si>
    <t>Tulemus</t>
  </si>
  <si>
    <t>1.</t>
  </si>
  <si>
    <t>KL MäLK II</t>
  </si>
  <si>
    <t>2.</t>
  </si>
  <si>
    <t>3.</t>
  </si>
  <si>
    <t>KL MäLK I</t>
  </si>
  <si>
    <t>4.</t>
  </si>
  <si>
    <t>KL MäLK III</t>
  </si>
  <si>
    <t>20+20l mix  võistkondlik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</si>
</sst>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9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0"/>
    </font>
    <font>
      <i/>
      <u val="single"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19" borderId="0" applyNumberFormat="0" applyBorder="0" applyAlignment="0" applyProtection="0"/>
    <xf numFmtId="0" fontId="0" fillId="22" borderId="0" applyNumberFormat="0" applyBorder="0" applyAlignment="0" applyProtection="0"/>
    <xf numFmtId="0" fontId="0" fillId="1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44" fillId="31" borderId="1" applyNumberFormat="0" applyAlignment="0" applyProtection="0"/>
    <xf numFmtId="0" fontId="45" fillId="32" borderId="0" applyNumberFormat="0" applyBorder="0" applyAlignment="0" applyProtection="0"/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4" borderId="3" applyNumberFormat="0" applyAlignment="0" applyProtection="0"/>
    <xf numFmtId="0" fontId="50" fillId="0" borderId="4" applyNumberFormat="0" applyFill="0" applyAlignment="0" applyProtection="0"/>
    <xf numFmtId="0" fontId="0" fillId="35" borderId="5" applyNumberFormat="0" applyFont="0" applyAlignment="0" applyProtection="0"/>
    <xf numFmtId="0" fontId="51" fillId="36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9" fontId="1" fillId="0" borderId="0" applyFill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43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1" borderId="9" applyNumberFormat="0" applyAlignment="0" applyProtection="0"/>
    <xf numFmtId="0" fontId="3" fillId="44" borderId="0" applyNumberFormat="0" applyBorder="0" applyAlignment="0" applyProtection="0"/>
    <xf numFmtId="0" fontId="4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29" borderId="0" applyNumberFormat="0" applyBorder="0" applyAlignment="0" applyProtection="0"/>
    <xf numFmtId="0" fontId="2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10" applyNumberFormat="0" applyFill="0" applyAlignment="0" applyProtection="0"/>
    <xf numFmtId="0" fontId="7" fillId="0" borderId="11" applyNumberFormat="0" applyFill="0" applyAlignment="0" applyProtection="0"/>
    <xf numFmtId="0" fontId="8" fillId="0" borderId="12" applyNumberFormat="0" applyFill="0" applyAlignment="0" applyProtection="0"/>
    <xf numFmtId="0" fontId="8" fillId="0" borderId="0" applyNumberFormat="0" applyFill="0" applyBorder="0" applyAlignment="0" applyProtection="0"/>
    <xf numFmtId="0" fontId="9" fillId="49" borderId="13" applyNumberFormat="0" applyAlignment="0" applyProtection="0"/>
    <xf numFmtId="0" fontId="10" fillId="0" borderId="14" applyNumberFormat="0" applyFill="0" applyAlignment="0" applyProtection="0"/>
    <xf numFmtId="0" fontId="0" fillId="10" borderId="1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9" borderId="16" applyNumberFormat="0" applyAlignment="0" applyProtection="0"/>
    <xf numFmtId="0" fontId="14" fillId="12" borderId="16" applyNumberFormat="0" applyAlignment="0" applyProtection="0"/>
    <xf numFmtId="0" fontId="15" fillId="19" borderId="17" applyNumberFormat="0" applyAlignment="0" applyProtection="0"/>
    <xf numFmtId="0" fontId="16" fillId="21" borderId="0" applyNumberFormat="0" applyBorder="0" applyAlignment="0" applyProtection="0"/>
    <xf numFmtId="0" fontId="17" fillId="0" borderId="18" applyNumberFormat="0" applyFill="0" applyAlignment="0" applyProtection="0"/>
  </cellStyleXfs>
  <cellXfs count="32"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21" borderId="0" xfId="0" applyFont="1" applyFill="1" applyAlignment="1">
      <alignment/>
    </xf>
    <xf numFmtId="0" fontId="23" fillId="4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23" fillId="21" borderId="0" xfId="0" applyFont="1" applyFill="1" applyAlignment="1">
      <alignment/>
    </xf>
    <xf numFmtId="0" fontId="23" fillId="4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</cellXfs>
  <cellStyles count="8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– rõhk1" xfId="27"/>
    <cellStyle name="40% – rõhk2" xfId="28"/>
    <cellStyle name="40% – rõhk3" xfId="29"/>
    <cellStyle name="40% – rõhk4" xfId="30"/>
    <cellStyle name="40% – rõhk5" xfId="31"/>
    <cellStyle name="40% – rõhk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– rõhk1" xfId="39"/>
    <cellStyle name="60% – rõhk2" xfId="40"/>
    <cellStyle name="60% – rõhk3" xfId="41"/>
    <cellStyle name="60% – rõhk4" xfId="42"/>
    <cellStyle name="60% – rõhk5" xfId="43"/>
    <cellStyle name="60% – rõhk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rvutus" xfId="51"/>
    <cellStyle name="Halb" xfId="52"/>
    <cellStyle name="Hea" xfId="53"/>
    <cellStyle name="Hoiatuse tekst" xfId="54"/>
    <cellStyle name="Kokku" xfId="55"/>
    <cellStyle name="Comma" xfId="56"/>
    <cellStyle name="Comma [0]" xfId="57"/>
    <cellStyle name="Kontrolli lahtrit" xfId="58"/>
    <cellStyle name="Lingitud lahter" xfId="59"/>
    <cellStyle name="Märkus" xfId="60"/>
    <cellStyle name="Neutraalne" xfId="61"/>
    <cellStyle name="Pealkiri" xfId="62"/>
    <cellStyle name="Pealkiri 1" xfId="63"/>
    <cellStyle name="Pealkiri 2" xfId="64"/>
    <cellStyle name="Pealkiri 3" xfId="65"/>
    <cellStyle name="Pealkiri 4" xfId="66"/>
    <cellStyle name="Percent" xfId="67"/>
    <cellStyle name="Rõhk1" xfId="68"/>
    <cellStyle name="Rõhk2" xfId="69"/>
    <cellStyle name="Rõhk3" xfId="70"/>
    <cellStyle name="Rõhk4" xfId="71"/>
    <cellStyle name="Rõhk5" xfId="72"/>
    <cellStyle name="Rõhk6" xfId="73"/>
    <cellStyle name="Selgitav tekst" xfId="74"/>
    <cellStyle name="Sisestus" xfId="75"/>
    <cellStyle name="Currency" xfId="76"/>
    <cellStyle name="Currency [0]" xfId="77"/>
    <cellStyle name="Väljund" xfId="78"/>
    <cellStyle name="好" xfId="79"/>
    <cellStyle name="差" xfId="80"/>
    <cellStyle name="强调文字颜色 1" xfId="81"/>
    <cellStyle name="强调文字颜色 2" xfId="82"/>
    <cellStyle name="强调文字颜色 3" xfId="83"/>
    <cellStyle name="强调文字颜色 4" xfId="84"/>
    <cellStyle name="强调文字颜色 5" xfId="85"/>
    <cellStyle name="强调文字颜色 6" xfId="86"/>
    <cellStyle name="标题" xfId="87"/>
    <cellStyle name="标题 1" xfId="88"/>
    <cellStyle name="标题 2" xfId="89"/>
    <cellStyle name="标题 3" xfId="90"/>
    <cellStyle name="标题 4" xfId="91"/>
    <cellStyle name="检查单元格" xfId="92"/>
    <cellStyle name="汇总" xfId="93"/>
    <cellStyle name="注释" xfId="94"/>
    <cellStyle name="解释性文本" xfId="95"/>
    <cellStyle name="警告文本" xfId="96"/>
    <cellStyle name="计算" xfId="97"/>
    <cellStyle name="输入" xfId="98"/>
    <cellStyle name="输出" xfId="99"/>
    <cellStyle name="适中" xfId="100"/>
    <cellStyle name="链接单元格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07" zoomScaleNormal="107" zoomScalePageLayoutView="0" workbookViewId="0" topLeftCell="A1">
      <selection activeCell="P13" sqref="P13"/>
    </sheetView>
  </sheetViews>
  <sheetFormatPr defaultColWidth="9.00390625" defaultRowHeight="14.25"/>
  <cols>
    <col min="1" max="1" width="5.375" style="0" customWidth="1"/>
    <col min="2" max="2" width="8.00390625" style="0" customWidth="1"/>
    <col min="3" max="3" width="11.50390625" style="0" customWidth="1"/>
    <col min="4" max="4" width="5.00390625" style="0" customWidth="1"/>
    <col min="5" max="5" width="11.25390625" style="0" customWidth="1"/>
    <col min="6" max="8" width="2.875" style="0" customWidth="1"/>
    <col min="9" max="9" width="4.625" style="1" customWidth="1"/>
    <col min="10" max="10" width="3.625" style="0" customWidth="1"/>
    <col min="11" max="12" width="2.875" style="0" customWidth="1"/>
    <col min="13" max="13" width="4.625" style="1" customWidth="1"/>
    <col min="14" max="14" width="4.625" style="2" customWidth="1"/>
    <col min="15" max="15" width="3.625" style="0" customWidth="1"/>
    <col min="16" max="16" width="4.00390625" style="0" customWidth="1"/>
  </cols>
  <sheetData>
    <row r="1" spans="4:9" ht="20.25">
      <c r="D1" s="26" t="s">
        <v>0</v>
      </c>
      <c r="E1" s="26"/>
      <c r="F1" s="26"/>
      <c r="G1" s="26"/>
      <c r="H1" s="26"/>
      <c r="I1" s="26"/>
    </row>
    <row r="2" spans="4:9" ht="18.75">
      <c r="D2" s="27" t="s">
        <v>1</v>
      </c>
      <c r="E2" s="27"/>
      <c r="F2" s="27"/>
      <c r="G2" s="27"/>
      <c r="H2" s="27"/>
      <c r="I2" s="27"/>
    </row>
    <row r="3" spans="10:14" ht="15.75">
      <c r="J3" s="28" t="s">
        <v>2</v>
      </c>
      <c r="K3" s="28"/>
      <c r="L3" s="28"/>
      <c r="M3" s="28"/>
      <c r="N3" s="28"/>
    </row>
    <row r="5" spans="2:5" ht="15.75">
      <c r="B5" s="29" t="s">
        <v>3</v>
      </c>
      <c r="C5" s="29"/>
      <c r="D5" s="29"/>
      <c r="E5" s="29"/>
    </row>
    <row r="6" spans="1:15" ht="15.7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30" t="s">
        <v>9</v>
      </c>
      <c r="G6" s="30"/>
      <c r="H6" s="30"/>
      <c r="I6" s="30"/>
      <c r="J6" s="30" t="s">
        <v>10</v>
      </c>
      <c r="K6" s="30"/>
      <c r="L6" s="30"/>
      <c r="M6" s="30"/>
      <c r="N6" s="7" t="s">
        <v>11</v>
      </c>
      <c r="O6" s="8" t="s">
        <v>12</v>
      </c>
    </row>
    <row r="7" spans="1:17" ht="15.75">
      <c r="A7" s="9" t="s">
        <v>13</v>
      </c>
      <c r="B7" s="10" t="s">
        <v>14</v>
      </c>
      <c r="C7" s="10" t="s">
        <v>15</v>
      </c>
      <c r="D7" s="10">
        <v>1973</v>
      </c>
      <c r="E7" s="10" t="s">
        <v>16</v>
      </c>
      <c r="F7" s="10">
        <f>8+9+9+9+10+5+7+9+7+7</f>
        <v>80</v>
      </c>
      <c r="G7" s="10">
        <f>9+2*10+9+9+10+3*9+8</f>
        <v>92</v>
      </c>
      <c r="H7" s="10">
        <f>10+10+9+9+3*10+8+7+8</f>
        <v>91</v>
      </c>
      <c r="I7" s="11">
        <f aca="true" t="shared" si="0" ref="I7:I21">SUM(F7,G7,H7)</f>
        <v>263</v>
      </c>
      <c r="J7" s="10">
        <f>3+8+7+8+9+7+4*10</f>
        <v>82</v>
      </c>
      <c r="K7" s="10">
        <f>5+6+8+9+8+5+7+8+10+7</f>
        <v>73</v>
      </c>
      <c r="L7" s="10">
        <f>8+8+7+8+10+6+9+3*10</f>
        <v>86</v>
      </c>
      <c r="M7" s="11">
        <f aca="true" t="shared" si="1" ref="M7:M21">SUM(J7:L7)</f>
        <v>241</v>
      </c>
      <c r="N7" s="12">
        <f aca="true" t="shared" si="2" ref="N7:N21">SUM(M7,I7)</f>
        <v>504</v>
      </c>
      <c r="O7" s="13" t="s">
        <v>17</v>
      </c>
      <c r="P7" s="10"/>
      <c r="Q7" s="10"/>
    </row>
    <row r="8" spans="1:17" ht="15.75">
      <c r="A8" s="9" t="s">
        <v>18</v>
      </c>
      <c r="B8" s="10" t="s">
        <v>19</v>
      </c>
      <c r="C8" s="10" t="s">
        <v>20</v>
      </c>
      <c r="D8" s="10">
        <v>1968</v>
      </c>
      <c r="E8" s="10" t="s">
        <v>21</v>
      </c>
      <c r="F8" s="10">
        <f>8+4*10+8+7+10+9+8</f>
        <v>90</v>
      </c>
      <c r="G8" s="10">
        <f>7+3*10+9+7+8+2*10+8</f>
        <v>89</v>
      </c>
      <c r="H8" s="10">
        <f>7+6*10+6+8+6</f>
        <v>87</v>
      </c>
      <c r="I8" s="11">
        <f t="shared" si="0"/>
        <v>266</v>
      </c>
      <c r="J8" s="10">
        <f>8+2*10+9+7+9+9+8+8+7</f>
        <v>85</v>
      </c>
      <c r="K8" s="10">
        <f>6+9+2*10+8+7+6+2*10+8</f>
        <v>84</v>
      </c>
      <c r="L8" s="10">
        <f>9+9+7+10+10+6+7+3*9</f>
        <v>85</v>
      </c>
      <c r="M8" s="11">
        <f t="shared" si="1"/>
        <v>254</v>
      </c>
      <c r="N8" s="12">
        <f t="shared" si="2"/>
        <v>520</v>
      </c>
      <c r="O8" s="13" t="s">
        <v>18</v>
      </c>
      <c r="P8" s="10"/>
      <c r="Q8" s="10"/>
    </row>
    <row r="9" spans="1:17" ht="15.75">
      <c r="A9" s="9" t="s">
        <v>17</v>
      </c>
      <c r="B9" s="10" t="s">
        <v>22</v>
      </c>
      <c r="C9" s="10" t="s">
        <v>23</v>
      </c>
      <c r="D9" s="10">
        <v>1970</v>
      </c>
      <c r="E9" s="10" t="s">
        <v>24</v>
      </c>
      <c r="F9" s="10">
        <f>6+8+9+10+9+8+9+3*10</f>
        <v>89</v>
      </c>
      <c r="G9" s="10">
        <f>9+2*10+9+8+8+9+10+9+9</f>
        <v>91</v>
      </c>
      <c r="H9" s="10">
        <f>10+9+9+8+10+6+9+2*10+9</f>
        <v>90</v>
      </c>
      <c r="I9" s="11">
        <f t="shared" si="0"/>
        <v>270</v>
      </c>
      <c r="J9" s="10">
        <f>7+8+9+10+10+3+8+3*10</f>
        <v>85</v>
      </c>
      <c r="K9" s="10">
        <f>6+6+4+9+10+7+6+10+7+6</f>
        <v>71</v>
      </c>
      <c r="L9" s="10">
        <f>3+9+10+8+5+6+9+10+10+9</f>
        <v>79</v>
      </c>
      <c r="M9" s="11">
        <f t="shared" si="1"/>
        <v>235</v>
      </c>
      <c r="N9" s="12">
        <f t="shared" si="2"/>
        <v>505</v>
      </c>
      <c r="O9" s="13" t="s">
        <v>17</v>
      </c>
      <c r="P9" s="10"/>
      <c r="Q9" s="10"/>
    </row>
    <row r="10" spans="1:16" ht="15.75">
      <c r="A10" s="13">
        <v>4</v>
      </c>
      <c r="B10" s="10" t="s">
        <v>25</v>
      </c>
      <c r="C10" s="10" t="s">
        <v>26</v>
      </c>
      <c r="D10" s="10">
        <v>1966</v>
      </c>
      <c r="E10" s="10" t="s">
        <v>21</v>
      </c>
      <c r="F10" s="10">
        <f>6+8+9+10+3*9+10+9+8</f>
        <v>87</v>
      </c>
      <c r="G10" s="10">
        <f>3*7+10+8+8+9+2*10+7</f>
        <v>83</v>
      </c>
      <c r="H10" s="10">
        <f>9+2*10+2*8+9+4*10</f>
        <v>94</v>
      </c>
      <c r="I10" s="11">
        <f t="shared" si="0"/>
        <v>264</v>
      </c>
      <c r="J10" s="10">
        <f>9+9+7+8+5+7+9+10+8+5</f>
        <v>77</v>
      </c>
      <c r="K10" s="10">
        <f>7+8+8+7+10+7+9+7+8+7</f>
        <v>78</v>
      </c>
      <c r="L10" s="10">
        <f>10+9+9+8+7+10+8+7+8+6</f>
        <v>82</v>
      </c>
      <c r="M10" s="11">
        <f t="shared" si="1"/>
        <v>237</v>
      </c>
      <c r="N10" s="12">
        <f t="shared" si="2"/>
        <v>501</v>
      </c>
      <c r="O10" s="13" t="s">
        <v>17</v>
      </c>
      <c r="P10" s="10" t="s">
        <v>27</v>
      </c>
    </row>
    <row r="11" spans="1:16" ht="15.75">
      <c r="A11" s="13">
        <v>5</v>
      </c>
      <c r="B11" s="10" t="s">
        <v>28</v>
      </c>
      <c r="C11" s="10" t="s">
        <v>29</v>
      </c>
      <c r="D11" s="10">
        <v>1962</v>
      </c>
      <c r="E11" s="10" t="s">
        <v>21</v>
      </c>
      <c r="F11" s="10">
        <f>3*10+8+7+9+9+9+8+6</f>
        <v>86</v>
      </c>
      <c r="G11" s="10">
        <f>3*10+9+7+10+9+9+6+5</f>
        <v>85</v>
      </c>
      <c r="H11" s="10">
        <f>10+3*9+8+8+3*10+8</f>
        <v>91</v>
      </c>
      <c r="I11" s="11">
        <f t="shared" si="0"/>
        <v>262</v>
      </c>
      <c r="J11" s="10">
        <f>7+8+7+8+6+10+10+9+8+7</f>
        <v>80</v>
      </c>
      <c r="K11" s="10">
        <f>0+2*10+7+7+8+9+9+8+8</f>
        <v>76</v>
      </c>
      <c r="L11" s="10">
        <f>6+6+7+8+4*10+9+7</f>
        <v>83</v>
      </c>
      <c r="M11" s="11">
        <f t="shared" si="1"/>
        <v>239</v>
      </c>
      <c r="N11" s="12">
        <f t="shared" si="2"/>
        <v>501</v>
      </c>
      <c r="O11" s="13" t="s">
        <v>17</v>
      </c>
      <c r="P11" s="10" t="s">
        <v>27</v>
      </c>
    </row>
    <row r="12" spans="1:17" ht="15.75">
      <c r="A12" s="13">
        <f aca="true" t="shared" si="3" ref="A12:A21">RANK(N12,N$7:N$21)</f>
        <v>6</v>
      </c>
      <c r="B12" s="10" t="s">
        <v>30</v>
      </c>
      <c r="C12" s="10" t="s">
        <v>31</v>
      </c>
      <c r="D12" s="10">
        <v>1968</v>
      </c>
      <c r="E12" s="10" t="s">
        <v>32</v>
      </c>
      <c r="F12" s="10">
        <f>9+10+9+8+8+10+10+9+8+7</f>
        <v>88</v>
      </c>
      <c r="G12" s="10">
        <f>5+7+10+8+5+3*10+7+6</f>
        <v>78</v>
      </c>
      <c r="H12" s="10">
        <f>10+9+8+8+3*7+10+10+7</f>
        <v>83</v>
      </c>
      <c r="I12" s="11">
        <f t="shared" si="0"/>
        <v>249</v>
      </c>
      <c r="J12" s="10">
        <f>4+7+2*10+9+7+10+9+8+8</f>
        <v>82</v>
      </c>
      <c r="K12" s="10">
        <f>3*9+10+8+6+6+7+9+8</f>
        <v>81</v>
      </c>
      <c r="L12" s="10">
        <f>6+7+9+9+10+8+3*10+9</f>
        <v>88</v>
      </c>
      <c r="M12" s="11">
        <f t="shared" si="1"/>
        <v>251</v>
      </c>
      <c r="N12" s="12">
        <f t="shared" si="2"/>
        <v>500</v>
      </c>
      <c r="O12" s="13" t="s">
        <v>17</v>
      </c>
      <c r="P12" s="10"/>
      <c r="Q12" s="10"/>
    </row>
    <row r="13" spans="1:17" ht="15.75">
      <c r="A13" s="13">
        <f t="shared" si="3"/>
        <v>7</v>
      </c>
      <c r="B13" s="10" t="s">
        <v>33</v>
      </c>
      <c r="C13" s="10" t="s">
        <v>34</v>
      </c>
      <c r="D13" s="10">
        <v>1973</v>
      </c>
      <c r="E13" s="10" t="s">
        <v>21</v>
      </c>
      <c r="F13" s="10">
        <f>4*10+9+6+7+7+2*10</f>
        <v>89</v>
      </c>
      <c r="G13" s="10">
        <f>9+10+8+7+6+6+9+3*10</f>
        <v>85</v>
      </c>
      <c r="H13" s="10">
        <f>2*10+8+8+5+10+9+7+8+7</f>
        <v>82</v>
      </c>
      <c r="I13" s="11">
        <f t="shared" si="0"/>
        <v>256</v>
      </c>
      <c r="J13" s="10">
        <f>2+7+9+8+7+9+9+10+6+6</f>
        <v>73</v>
      </c>
      <c r="K13" s="10">
        <f>7+8+2*10+9+5+9+8+6+8</f>
        <v>80</v>
      </c>
      <c r="L13" s="10">
        <f>5+7+8+8+2*10+9+8+8+7</f>
        <v>80</v>
      </c>
      <c r="M13" s="11">
        <f t="shared" si="1"/>
        <v>233</v>
      </c>
      <c r="N13" s="12">
        <f t="shared" si="2"/>
        <v>489</v>
      </c>
      <c r="O13" s="13" t="s">
        <v>17</v>
      </c>
      <c r="P13" s="10"/>
      <c r="Q13" s="10"/>
    </row>
    <row r="14" spans="1:17" ht="15.75">
      <c r="A14" s="13">
        <f t="shared" si="3"/>
        <v>8</v>
      </c>
      <c r="B14" s="10" t="s">
        <v>35</v>
      </c>
      <c r="C14" s="10" t="s">
        <v>36</v>
      </c>
      <c r="D14" s="10">
        <v>1967</v>
      </c>
      <c r="E14" s="10" t="s">
        <v>21</v>
      </c>
      <c r="F14" s="10">
        <f>6+7+8+9+7+10+9+8+7+6</f>
        <v>77</v>
      </c>
      <c r="G14" s="10">
        <f>10+8+8+8+7+6+7+9+9+10</f>
        <v>82</v>
      </c>
      <c r="H14" s="10">
        <f>6+6+7+10+10+3+8+10+10+10</f>
        <v>80</v>
      </c>
      <c r="I14" s="11">
        <f t="shared" si="0"/>
        <v>239</v>
      </c>
      <c r="J14" s="10">
        <f>7+8+9+9+10+5+4+4+6+10</f>
        <v>72</v>
      </c>
      <c r="K14" s="10">
        <f>6+6+9+9+10+7+8+3*10</f>
        <v>85</v>
      </c>
      <c r="L14" s="10">
        <f>3+7+8+5+9+7+8+9+10+7</f>
        <v>73</v>
      </c>
      <c r="M14" s="11">
        <f t="shared" si="1"/>
        <v>230</v>
      </c>
      <c r="N14" s="12">
        <f t="shared" si="2"/>
        <v>469</v>
      </c>
      <c r="O14" s="13"/>
      <c r="P14" s="10"/>
      <c r="Q14" s="10"/>
    </row>
    <row r="15" spans="1:17" ht="15.75">
      <c r="A15" s="13">
        <f t="shared" si="3"/>
        <v>9</v>
      </c>
      <c r="B15" s="10" t="s">
        <v>37</v>
      </c>
      <c r="C15" s="10" t="s">
        <v>38</v>
      </c>
      <c r="D15" s="10">
        <v>1964</v>
      </c>
      <c r="E15" s="10" t="s">
        <v>21</v>
      </c>
      <c r="F15" s="10">
        <f>7+8+9+9+10+7+9+10+9+10</f>
        <v>88</v>
      </c>
      <c r="G15" s="10">
        <f>8+8+9+10+10+5+4+10+9+6</f>
        <v>79</v>
      </c>
      <c r="H15" s="10">
        <f>7+8+9+2*10+9+9+9+8+6</f>
        <v>85</v>
      </c>
      <c r="I15" s="11">
        <f t="shared" si="0"/>
        <v>252</v>
      </c>
      <c r="J15" s="10">
        <f>6+6+10+9+8+8+8+6+6+2</f>
        <v>69</v>
      </c>
      <c r="K15" s="10">
        <f>0+9+8+7+6+2+2*10+4+4</f>
        <v>60</v>
      </c>
      <c r="L15" s="10">
        <f>2+6+6+9+8+2*10+9+7+4</f>
        <v>71</v>
      </c>
      <c r="M15" s="11">
        <f t="shared" si="1"/>
        <v>200</v>
      </c>
      <c r="N15" s="12">
        <f t="shared" si="2"/>
        <v>452</v>
      </c>
      <c r="O15" s="13"/>
      <c r="P15" s="10"/>
      <c r="Q15" s="10"/>
    </row>
    <row r="16" spans="1:17" ht="15.75">
      <c r="A16" s="13">
        <f t="shared" si="3"/>
        <v>10</v>
      </c>
      <c r="B16" s="10" t="s">
        <v>39</v>
      </c>
      <c r="C16" s="10" t="s">
        <v>31</v>
      </c>
      <c r="D16" s="10">
        <v>1995</v>
      </c>
      <c r="E16" s="10" t="s">
        <v>32</v>
      </c>
      <c r="F16" s="10">
        <f>3*8+6+6+5+8+8+9+10</f>
        <v>76</v>
      </c>
      <c r="G16" s="10">
        <f>8+7+5+6+3+10+9+9+6+8</f>
        <v>71</v>
      </c>
      <c r="H16" s="10">
        <f>4+8+9+8+7+2+5+7+9+9</f>
        <v>68</v>
      </c>
      <c r="I16" s="11">
        <f t="shared" si="0"/>
        <v>215</v>
      </c>
      <c r="J16" s="10">
        <f>10+9+9+7+6+8+10+7+7+5</f>
        <v>78</v>
      </c>
      <c r="K16" s="10">
        <f>7+8+6+6+10+3+10+8+8+8</f>
        <v>74</v>
      </c>
      <c r="L16" s="10">
        <f>6+7+2*10+8+7+8+4+8+9</f>
        <v>77</v>
      </c>
      <c r="M16" s="11">
        <f t="shared" si="1"/>
        <v>229</v>
      </c>
      <c r="N16" s="12">
        <f t="shared" si="2"/>
        <v>444</v>
      </c>
      <c r="O16" s="13"/>
      <c r="P16" s="10"/>
      <c r="Q16" s="10"/>
    </row>
    <row r="17" spans="1:17" ht="15.75">
      <c r="A17" s="13">
        <f t="shared" si="3"/>
        <v>11</v>
      </c>
      <c r="B17" s="10" t="s">
        <v>22</v>
      </c>
      <c r="C17" s="10" t="s">
        <v>40</v>
      </c>
      <c r="D17" s="10">
        <v>1976</v>
      </c>
      <c r="E17" s="10" t="s">
        <v>32</v>
      </c>
      <c r="F17" s="10">
        <f>3+8+8+9+7+2+8+10+9+8</f>
        <v>72</v>
      </c>
      <c r="G17" s="10">
        <f>3+4+7+2*10+9+9+8+5+5</f>
        <v>70</v>
      </c>
      <c r="H17" s="10">
        <f>5+9+9+8+10+6+8+9+5+7</f>
        <v>76</v>
      </c>
      <c r="I17" s="11">
        <f t="shared" si="0"/>
        <v>218</v>
      </c>
      <c r="J17" s="10">
        <f>7+6+10+6+4+7+8+10+6+5</f>
        <v>69</v>
      </c>
      <c r="K17" s="10">
        <f>6+7+10+9+7+9+10+7+5+5</f>
        <v>75</v>
      </c>
      <c r="L17" s="10">
        <f>7+2*10+8+8+7+7+8+10+6</f>
        <v>81</v>
      </c>
      <c r="M17" s="11">
        <f t="shared" si="1"/>
        <v>225</v>
      </c>
      <c r="N17" s="12">
        <f t="shared" si="2"/>
        <v>443</v>
      </c>
      <c r="O17" s="13"/>
      <c r="P17" s="10"/>
      <c r="Q17" s="10"/>
    </row>
    <row r="18" spans="1:17" ht="15.75">
      <c r="A18" s="13">
        <f t="shared" si="3"/>
        <v>12</v>
      </c>
      <c r="B18" s="10" t="s">
        <v>41</v>
      </c>
      <c r="C18" s="10" t="s">
        <v>42</v>
      </c>
      <c r="D18" s="10">
        <v>1974</v>
      </c>
      <c r="E18" s="10" t="s">
        <v>21</v>
      </c>
      <c r="F18" s="10">
        <f>5+7+10+8+10+4+4+5+9+8</f>
        <v>70</v>
      </c>
      <c r="G18" s="10">
        <f>7+7+10+9+8+2+5+6+9+10</f>
        <v>73</v>
      </c>
      <c r="H18" s="10">
        <f>9+9+10+10+4+5+7+8+2*10</f>
        <v>82</v>
      </c>
      <c r="I18" s="11">
        <f t="shared" si="0"/>
        <v>225</v>
      </c>
      <c r="J18" s="10">
        <f>1+6+8+9+2+8+8+6+4+5</f>
        <v>57</v>
      </c>
      <c r="K18" s="10">
        <f>3+5+7+5+8+1+5+6+9+10</f>
        <v>59</v>
      </c>
      <c r="L18" s="10">
        <f>4+7+7+7+8+6+7+8+6+7</f>
        <v>67</v>
      </c>
      <c r="M18" s="11">
        <f t="shared" si="1"/>
        <v>183</v>
      </c>
      <c r="N18" s="12">
        <f t="shared" si="2"/>
        <v>408</v>
      </c>
      <c r="O18" s="13"/>
      <c r="P18" s="10"/>
      <c r="Q18" s="10"/>
    </row>
    <row r="19" spans="1:17" ht="15.75">
      <c r="A19" s="13">
        <f t="shared" si="3"/>
        <v>13</v>
      </c>
      <c r="B19" s="10" t="s">
        <v>22</v>
      </c>
      <c r="C19" s="10" t="s">
        <v>43</v>
      </c>
      <c r="D19" s="10">
        <v>1969</v>
      </c>
      <c r="E19" s="10" t="s">
        <v>21</v>
      </c>
      <c r="F19" s="10">
        <f>5+9+10+9+7+7+8+7+6+4</f>
        <v>72</v>
      </c>
      <c r="G19" s="10">
        <f>10+10+9+7+5+3+7+9+7+6</f>
        <v>73</v>
      </c>
      <c r="H19" s="10">
        <f>8+9+6+4+6+6+5+10+8+7</f>
        <v>69</v>
      </c>
      <c r="I19" s="11">
        <f t="shared" si="0"/>
        <v>214</v>
      </c>
      <c r="J19" s="10">
        <f>6+7+8+9+10+5+5+9+10+2</f>
        <v>71</v>
      </c>
      <c r="K19" s="10">
        <f>0+6+9+10+6+6+8+9+10+4</f>
        <v>68</v>
      </c>
      <c r="L19" s="10">
        <f>0+0+10+8+7+4+5+7+6+5</f>
        <v>52</v>
      </c>
      <c r="M19" s="11">
        <f t="shared" si="1"/>
        <v>191</v>
      </c>
      <c r="N19" s="12">
        <f t="shared" si="2"/>
        <v>405</v>
      </c>
      <c r="O19" s="13"/>
      <c r="P19" s="10"/>
      <c r="Q19" s="10"/>
    </row>
    <row r="20" spans="1:17" ht="15.75">
      <c r="A20" s="13">
        <f t="shared" si="3"/>
        <v>14</v>
      </c>
      <c r="B20" s="10" t="s">
        <v>44</v>
      </c>
      <c r="C20" s="10" t="s">
        <v>45</v>
      </c>
      <c r="D20" s="10">
        <v>1965</v>
      </c>
      <c r="E20" s="10" t="s">
        <v>21</v>
      </c>
      <c r="F20" s="10">
        <f>9+9+7+6+8+4+7+10+10+6</f>
        <v>76</v>
      </c>
      <c r="G20" s="10">
        <f>1+6+7+9+8+0+6+10+7+1</f>
        <v>55</v>
      </c>
      <c r="H20" s="10">
        <f>8+7+7+6+4+2*10+8+8+7</f>
        <v>75</v>
      </c>
      <c r="I20" s="11">
        <f t="shared" si="0"/>
        <v>206</v>
      </c>
      <c r="J20" s="10">
        <f>0+5+7+6+10+0+2+5+7+9</f>
        <v>51</v>
      </c>
      <c r="K20" s="10">
        <f>3*6+7+10+4+9+7+6+6</f>
        <v>67</v>
      </c>
      <c r="L20" s="10">
        <f>6+3*8+10+0+2+5+9+9</f>
        <v>65</v>
      </c>
      <c r="M20" s="11">
        <f t="shared" si="1"/>
        <v>183</v>
      </c>
      <c r="N20" s="12">
        <f t="shared" si="2"/>
        <v>389</v>
      </c>
      <c r="O20" s="13"/>
      <c r="P20" s="10"/>
      <c r="Q20" s="10"/>
    </row>
    <row r="21" spans="1:17" ht="15.75">
      <c r="A21" s="13">
        <f t="shared" si="3"/>
        <v>15</v>
      </c>
      <c r="B21" s="10" t="s">
        <v>46</v>
      </c>
      <c r="C21" s="10" t="s">
        <v>47</v>
      </c>
      <c r="D21" s="10">
        <v>1947</v>
      </c>
      <c r="E21" s="10" t="s">
        <v>32</v>
      </c>
      <c r="F21" s="10">
        <f>0+2+4+7+10+1+4+8+10+10</f>
        <v>56</v>
      </c>
      <c r="G21" s="10">
        <f>4+6+8+9+9+1+6+6+10+9</f>
        <v>68</v>
      </c>
      <c r="H21" s="10">
        <f>3+8+10+9+7+4+10+8+8+7</f>
        <v>74</v>
      </c>
      <c r="I21" s="11">
        <f t="shared" si="0"/>
        <v>198</v>
      </c>
      <c r="J21" s="10">
        <f>10+3+5+5+9</f>
        <v>32</v>
      </c>
      <c r="K21" s="10">
        <f>8+8+4+7+4+6</f>
        <v>37</v>
      </c>
      <c r="L21" s="10">
        <f>3+2+4+6+8+8+9</f>
        <v>40</v>
      </c>
      <c r="M21" s="11">
        <f t="shared" si="1"/>
        <v>109</v>
      </c>
      <c r="N21" s="12">
        <f t="shared" si="2"/>
        <v>307</v>
      </c>
      <c r="O21" s="13"/>
      <c r="P21" s="10"/>
      <c r="Q21" s="10"/>
    </row>
    <row r="25" spans="1:4" ht="15">
      <c r="A25" t="s">
        <v>48</v>
      </c>
      <c r="D25" t="s">
        <v>49</v>
      </c>
    </row>
    <row r="26" spans="1:4" ht="15">
      <c r="A26" t="s">
        <v>50</v>
      </c>
      <c r="D26" t="s">
        <v>51</v>
      </c>
    </row>
    <row r="27" spans="1:4" ht="15">
      <c r="A27" t="s">
        <v>52</v>
      </c>
      <c r="D27" t="s">
        <v>53</v>
      </c>
    </row>
    <row r="28" spans="1:4" ht="15">
      <c r="A28" t="s">
        <v>54</v>
      </c>
      <c r="D28" t="s">
        <v>51</v>
      </c>
    </row>
  </sheetData>
  <sheetProtection selectLockedCells="1" selectUnlockedCells="1"/>
  <mergeCells count="6">
    <mergeCell ref="D1:I1"/>
    <mergeCell ref="D2:I2"/>
    <mergeCell ref="J3:N3"/>
    <mergeCell ref="B5:E5"/>
    <mergeCell ref="F6:I6"/>
    <mergeCell ref="J6:M6"/>
  </mergeCells>
  <printOptions/>
  <pageMargins left="0.7" right="0.7" top="0.75" bottom="0.75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="121" zoomScaleNormal="121" zoomScalePageLayoutView="0" workbookViewId="0" topLeftCell="A10">
      <selection activeCell="J4" sqref="J4"/>
    </sheetView>
  </sheetViews>
  <sheetFormatPr defaultColWidth="9.00390625" defaultRowHeight="14.25"/>
  <cols>
    <col min="3" max="3" width="10.50390625" style="0" customWidth="1"/>
    <col min="4" max="5" width="1.75390625" style="0" customWidth="1"/>
    <col min="6" max="15" width="1.875" style="0" customWidth="1"/>
  </cols>
  <sheetData>
    <row r="1" spans="3:16" ht="20.25">
      <c r="C1" s="3" t="s">
        <v>0</v>
      </c>
      <c r="E1" s="14"/>
      <c r="F1" s="14"/>
      <c r="G1" s="14"/>
      <c r="H1" s="14"/>
      <c r="I1" s="14"/>
      <c r="M1" s="1"/>
      <c r="N1" s="2"/>
      <c r="O1" s="15"/>
      <c r="P1" s="15"/>
    </row>
    <row r="2" spans="3:16" ht="18.75">
      <c r="C2" s="4" t="s">
        <v>55</v>
      </c>
      <c r="E2" s="16"/>
      <c r="F2" s="16"/>
      <c r="G2" s="16"/>
      <c r="H2" s="16"/>
      <c r="I2" s="16"/>
      <c r="M2" s="1"/>
      <c r="N2" s="2"/>
      <c r="O2" s="15"/>
      <c r="P2" s="15"/>
    </row>
    <row r="3" spans="9:16" ht="15.75">
      <c r="I3" s="1"/>
      <c r="K3" s="17"/>
      <c r="L3" s="17"/>
      <c r="M3" s="17"/>
      <c r="N3" s="17"/>
      <c r="O3" s="15"/>
      <c r="P3" s="15"/>
    </row>
    <row r="4" spans="1:16" ht="15.75">
      <c r="A4" s="15"/>
      <c r="B4" s="15"/>
      <c r="C4" s="15"/>
      <c r="D4" s="15"/>
      <c r="E4" s="15"/>
      <c r="F4" s="15"/>
      <c r="G4" s="15"/>
      <c r="H4" s="15"/>
      <c r="I4" s="15"/>
      <c r="J4" s="5" t="s">
        <v>2</v>
      </c>
      <c r="K4" s="15"/>
      <c r="L4" s="15"/>
      <c r="M4" s="15"/>
      <c r="N4" s="15"/>
      <c r="O4" s="15"/>
      <c r="P4" s="15"/>
    </row>
    <row r="5" spans="1:16" ht="15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5.75">
      <c r="A6" s="15"/>
      <c r="B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6" ht="15.75">
      <c r="A7" s="15"/>
      <c r="B7" s="6" t="s">
        <v>5</v>
      </c>
      <c r="C7" s="6" t="s">
        <v>6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ht="15.75">
      <c r="A8" s="15" t="s">
        <v>27</v>
      </c>
      <c r="B8" s="15" t="s">
        <v>28</v>
      </c>
      <c r="C8" s="15" t="s">
        <v>29</v>
      </c>
      <c r="D8" s="15">
        <v>5</v>
      </c>
      <c r="E8" s="15">
        <v>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8" t="s">
        <v>56</v>
      </c>
    </row>
    <row r="9" spans="1:16" ht="15.75">
      <c r="A9" s="15"/>
      <c r="B9" s="18" t="s">
        <v>25</v>
      </c>
      <c r="C9" s="18" t="s">
        <v>26</v>
      </c>
      <c r="D9" s="15">
        <v>9</v>
      </c>
      <c r="E9" s="15">
        <v>9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ht="15.75">
      <c r="A10" s="15"/>
      <c r="B10" s="15"/>
      <c r="C10" s="18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15.75">
      <c r="A11" s="15"/>
      <c r="B11" s="15"/>
      <c r="C11" s="1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ht="15.7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ht="15.75">
      <c r="A13" s="15"/>
      <c r="B13" s="15" t="s">
        <v>22</v>
      </c>
      <c r="C13" s="15" t="s">
        <v>23</v>
      </c>
      <c r="D13" s="15">
        <v>0</v>
      </c>
      <c r="E13" s="15">
        <v>0</v>
      </c>
      <c r="F13" s="15">
        <v>1</v>
      </c>
      <c r="G13" s="15">
        <v>1</v>
      </c>
      <c r="H13" s="15">
        <v>1</v>
      </c>
      <c r="I13" s="15">
        <v>0</v>
      </c>
      <c r="J13" s="15">
        <v>0</v>
      </c>
      <c r="K13" s="15">
        <v>0</v>
      </c>
      <c r="L13" s="15">
        <v>1</v>
      </c>
      <c r="M13" s="15">
        <v>0</v>
      </c>
      <c r="N13" s="18">
        <v>4</v>
      </c>
      <c r="O13" s="15"/>
      <c r="P13" s="18" t="s">
        <v>57</v>
      </c>
    </row>
    <row r="14" spans="1:16" ht="15.75">
      <c r="A14" s="15"/>
      <c r="B14" s="18" t="s">
        <v>14</v>
      </c>
      <c r="C14" s="18" t="s">
        <v>15</v>
      </c>
      <c r="D14" s="15">
        <v>1</v>
      </c>
      <c r="E14" s="15">
        <v>1</v>
      </c>
      <c r="F14" s="15">
        <v>0</v>
      </c>
      <c r="G14" s="15">
        <v>0</v>
      </c>
      <c r="H14" s="15">
        <v>0</v>
      </c>
      <c r="I14" s="15">
        <v>1</v>
      </c>
      <c r="J14" s="15">
        <v>1</v>
      </c>
      <c r="K14" s="15">
        <v>1</v>
      </c>
      <c r="L14" s="15">
        <v>0</v>
      </c>
      <c r="M14" s="15">
        <v>1</v>
      </c>
      <c r="N14" s="18">
        <v>6</v>
      </c>
      <c r="O14" s="15"/>
      <c r="P14" s="18" t="s">
        <v>58</v>
      </c>
    </row>
    <row r="15" spans="1:16" ht="15.7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.75">
      <c r="A16" s="15"/>
      <c r="B16" s="18" t="s">
        <v>19</v>
      </c>
      <c r="C16" s="18" t="s">
        <v>20</v>
      </c>
      <c r="D16" s="15">
        <v>1</v>
      </c>
      <c r="E16" s="15">
        <v>1</v>
      </c>
      <c r="F16" s="15">
        <v>0</v>
      </c>
      <c r="G16" s="15">
        <v>1</v>
      </c>
      <c r="H16" s="15">
        <v>0</v>
      </c>
      <c r="I16" s="15">
        <v>0</v>
      </c>
      <c r="J16" s="15">
        <v>1</v>
      </c>
      <c r="K16" s="15">
        <v>0</v>
      </c>
      <c r="L16" s="15">
        <v>1</v>
      </c>
      <c r="M16" s="15">
        <v>1</v>
      </c>
      <c r="N16" s="18">
        <v>6</v>
      </c>
      <c r="O16" s="15"/>
      <c r="P16" s="18" t="s">
        <v>58</v>
      </c>
    </row>
    <row r="17" spans="1:16" ht="15.75">
      <c r="A17" s="15"/>
      <c r="B17" s="15" t="s">
        <v>25</v>
      </c>
      <c r="C17" s="15" t="s">
        <v>26</v>
      </c>
      <c r="D17" s="15">
        <v>0</v>
      </c>
      <c r="E17" s="15">
        <v>0</v>
      </c>
      <c r="F17" s="15">
        <v>1</v>
      </c>
      <c r="G17" s="15">
        <v>0</v>
      </c>
      <c r="H17" s="15">
        <v>1</v>
      </c>
      <c r="I17" s="15">
        <v>1</v>
      </c>
      <c r="J17" s="15">
        <v>0</v>
      </c>
      <c r="K17" s="15">
        <v>1</v>
      </c>
      <c r="L17" s="15">
        <v>0</v>
      </c>
      <c r="M17" s="15">
        <v>0</v>
      </c>
      <c r="N17" s="18">
        <v>4</v>
      </c>
      <c r="O17" s="15"/>
      <c r="P17" s="18" t="s">
        <v>57</v>
      </c>
    </row>
    <row r="18" spans="1:16" ht="15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8"/>
      <c r="O18" s="15"/>
      <c r="P18" s="15"/>
    </row>
    <row r="19" spans="1:16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8"/>
      <c r="O19" s="15"/>
      <c r="P19" s="15"/>
    </row>
    <row r="20" spans="1:16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>
      <c r="A21" s="15"/>
      <c r="B21" s="15"/>
      <c r="C21" s="15" t="s">
        <v>59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.75">
      <c r="A22" s="15"/>
      <c r="B22" s="19" t="s">
        <v>25</v>
      </c>
      <c r="C22" s="19" t="s">
        <v>26</v>
      </c>
      <c r="D22" s="19">
        <v>0</v>
      </c>
      <c r="E22" s="19">
        <v>1</v>
      </c>
      <c r="F22" s="19">
        <v>0</v>
      </c>
      <c r="G22" s="19">
        <v>0</v>
      </c>
      <c r="H22" s="19">
        <v>0</v>
      </c>
      <c r="I22" s="19">
        <v>1</v>
      </c>
      <c r="J22" s="19">
        <v>1</v>
      </c>
      <c r="K22" s="19">
        <v>0</v>
      </c>
      <c r="L22" s="19">
        <v>1</v>
      </c>
      <c r="M22" s="19">
        <v>0</v>
      </c>
      <c r="N22" s="20">
        <v>4</v>
      </c>
      <c r="O22" s="19"/>
      <c r="P22" s="20" t="s">
        <v>60</v>
      </c>
    </row>
    <row r="23" spans="1:16" ht="15.75">
      <c r="A23" s="15"/>
      <c r="B23" s="20" t="s">
        <v>22</v>
      </c>
      <c r="C23" s="20" t="s">
        <v>23</v>
      </c>
      <c r="D23" s="19">
        <v>1</v>
      </c>
      <c r="E23" s="19">
        <v>0</v>
      </c>
      <c r="F23" s="19">
        <v>1</v>
      </c>
      <c r="G23" s="19">
        <v>1</v>
      </c>
      <c r="H23" s="19">
        <v>1</v>
      </c>
      <c r="I23" s="19">
        <v>0</v>
      </c>
      <c r="J23" s="19">
        <v>0</v>
      </c>
      <c r="K23" s="19">
        <v>1</v>
      </c>
      <c r="L23" s="19">
        <v>0</v>
      </c>
      <c r="M23" s="19">
        <v>1</v>
      </c>
      <c r="N23" s="20">
        <v>6</v>
      </c>
      <c r="O23" s="19"/>
      <c r="P23" s="20" t="s">
        <v>17</v>
      </c>
    </row>
    <row r="24" spans="1:16" ht="15.7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15.75">
      <c r="A25" s="15"/>
      <c r="B25" s="15"/>
      <c r="C25" s="15" t="s">
        <v>61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15.75">
      <c r="A26" s="15"/>
      <c r="B26" s="19" t="s">
        <v>19</v>
      </c>
      <c r="C26" s="19" t="s">
        <v>20</v>
      </c>
      <c r="D26" s="19">
        <v>0</v>
      </c>
      <c r="E26" s="19">
        <v>1</v>
      </c>
      <c r="F26" s="19">
        <v>0</v>
      </c>
      <c r="G26" s="19">
        <v>0</v>
      </c>
      <c r="H26" s="19">
        <v>1</v>
      </c>
      <c r="I26" s="19">
        <v>1</v>
      </c>
      <c r="J26" s="19">
        <v>1</v>
      </c>
      <c r="K26" s="19">
        <v>0</v>
      </c>
      <c r="L26" s="19">
        <v>0</v>
      </c>
      <c r="M26" s="19">
        <v>0</v>
      </c>
      <c r="N26" s="19">
        <v>0</v>
      </c>
      <c r="O26" s="20">
        <v>4</v>
      </c>
      <c r="P26" s="20" t="s">
        <v>18</v>
      </c>
    </row>
    <row r="27" spans="1:16" ht="15.75">
      <c r="A27" s="15"/>
      <c r="B27" s="20" t="s">
        <v>14</v>
      </c>
      <c r="C27" s="20" t="s">
        <v>15</v>
      </c>
      <c r="D27" s="19">
        <v>0</v>
      </c>
      <c r="E27" s="19">
        <v>0</v>
      </c>
      <c r="F27" s="19">
        <v>1</v>
      </c>
      <c r="G27" s="19">
        <v>1</v>
      </c>
      <c r="H27" s="19">
        <v>0</v>
      </c>
      <c r="I27" s="19">
        <v>0</v>
      </c>
      <c r="J27" s="19">
        <v>0</v>
      </c>
      <c r="K27" s="19">
        <v>1</v>
      </c>
      <c r="L27" s="19">
        <v>1</v>
      </c>
      <c r="M27" s="19">
        <v>1</v>
      </c>
      <c r="N27" s="19">
        <v>1</v>
      </c>
      <c r="O27" s="20">
        <v>6</v>
      </c>
      <c r="P27" s="20" t="s">
        <v>13</v>
      </c>
    </row>
    <row r="31" spans="1:3" ht="15.75">
      <c r="A31" s="15" t="s">
        <v>62</v>
      </c>
      <c r="B31" s="15"/>
      <c r="C31" s="15" t="s">
        <v>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6.625" style="0" customWidth="1"/>
    <col min="2" max="2" width="8.25390625" style="0" customWidth="1"/>
    <col min="3" max="3" width="12.75390625" style="0" customWidth="1"/>
    <col min="4" max="4" width="5.50390625" style="0" customWidth="1"/>
    <col min="5" max="5" width="10.75390625" style="0" customWidth="1"/>
    <col min="6" max="7" width="3.625" style="0" customWidth="1"/>
    <col min="8" max="8" width="4.625" style="0" customWidth="1"/>
    <col min="9" max="10" width="3.625" style="0" customWidth="1"/>
    <col min="11" max="12" width="4.625" style="0" customWidth="1"/>
    <col min="13" max="13" width="3.50390625" style="0" customWidth="1"/>
  </cols>
  <sheetData>
    <row r="1" spans="4:16" ht="20.25">
      <c r="D1" s="26" t="s">
        <v>0</v>
      </c>
      <c r="E1" s="26"/>
      <c r="F1" s="26"/>
      <c r="G1" s="26"/>
      <c r="H1" s="26"/>
      <c r="I1" s="26"/>
      <c r="O1" s="1"/>
      <c r="P1" s="2"/>
    </row>
    <row r="2" spans="4:16" ht="18.75">
      <c r="D2" s="27" t="s">
        <v>1</v>
      </c>
      <c r="E2" s="27"/>
      <c r="F2" s="27"/>
      <c r="G2" s="27"/>
      <c r="H2" s="27"/>
      <c r="I2" s="27"/>
      <c r="O2" s="1"/>
      <c r="P2" s="2"/>
    </row>
    <row r="3" spans="9:13" ht="15.75">
      <c r="I3" s="28" t="s">
        <v>64</v>
      </c>
      <c r="J3" s="28"/>
      <c r="K3" s="28"/>
      <c r="L3" s="28"/>
      <c r="M3" s="28"/>
    </row>
    <row r="4" spans="11:16" ht="15">
      <c r="K4" s="1"/>
      <c r="O4" s="1"/>
      <c r="P4" s="2"/>
    </row>
    <row r="5" spans="2:16" ht="15.75">
      <c r="B5" s="29" t="s">
        <v>65</v>
      </c>
      <c r="C5" s="29"/>
      <c r="D5" s="29"/>
      <c r="E5" s="29"/>
      <c r="I5" s="1"/>
      <c r="M5" s="1"/>
      <c r="N5" s="2"/>
      <c r="P5" s="2"/>
    </row>
    <row r="6" spans="1:13" ht="15.7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31" t="s">
        <v>9</v>
      </c>
      <c r="G6" s="31"/>
      <c r="H6" s="31"/>
      <c r="I6" s="31" t="s">
        <v>10</v>
      </c>
      <c r="J6" s="31"/>
      <c r="K6" s="31"/>
      <c r="L6" s="7" t="s">
        <v>11</v>
      </c>
      <c r="M6" s="8" t="s">
        <v>12</v>
      </c>
    </row>
    <row r="7" spans="1:13" ht="15.75">
      <c r="A7" s="21" t="s">
        <v>13</v>
      </c>
      <c r="B7" s="15" t="s">
        <v>28</v>
      </c>
      <c r="C7" s="15" t="s">
        <v>29</v>
      </c>
      <c r="D7" s="15">
        <v>1962</v>
      </c>
      <c r="E7" s="15" t="s">
        <v>21</v>
      </c>
      <c r="F7" s="15">
        <f>6+8+10+9+6+7+10+9+10+9</f>
        <v>84</v>
      </c>
      <c r="G7" s="15">
        <f>7+9+9+8+8+9+9+10+10+10</f>
        <v>89</v>
      </c>
      <c r="H7" s="22">
        <f aca="true" t="shared" si="0" ref="H7:H16">SUM(F7:G7)</f>
        <v>173</v>
      </c>
      <c r="I7" s="15">
        <f>6+9+8+8+9+9+10+10+10+7</f>
        <v>86</v>
      </c>
      <c r="J7" s="15">
        <f>10+10+8+8+6+7+10+8+6+5</f>
        <v>78</v>
      </c>
      <c r="K7" s="22">
        <f aca="true" t="shared" si="1" ref="K7:K16">SUM(I7:J7)</f>
        <v>164</v>
      </c>
      <c r="L7" s="23">
        <f aca="true" t="shared" si="2" ref="L7:L16">SUM(K7,H7)</f>
        <v>337</v>
      </c>
      <c r="M7" s="24" t="s">
        <v>18</v>
      </c>
    </row>
    <row r="8" spans="1:13" ht="15.75">
      <c r="A8" s="21" t="s">
        <v>18</v>
      </c>
      <c r="B8" s="15" t="s">
        <v>22</v>
      </c>
      <c r="C8" s="15" t="s">
        <v>23</v>
      </c>
      <c r="D8" s="15">
        <v>1970</v>
      </c>
      <c r="E8" s="15" t="s">
        <v>24</v>
      </c>
      <c r="F8" s="15">
        <f>6+8+9+8+7+7+8+7+10+8</f>
        <v>78</v>
      </c>
      <c r="G8" s="15">
        <f>6+5+9+10+8+7+8+7+9+8</f>
        <v>77</v>
      </c>
      <c r="H8" s="22">
        <f t="shared" si="0"/>
        <v>155</v>
      </c>
      <c r="I8" s="15">
        <f>10+10+10+9+4+10+10+10+7+8</f>
        <v>88</v>
      </c>
      <c r="J8" s="15">
        <f>10+10+9+9+9+6+6+8+9+10</f>
        <v>86</v>
      </c>
      <c r="K8" s="22">
        <f t="shared" si="1"/>
        <v>174</v>
      </c>
      <c r="L8" s="23">
        <f t="shared" si="2"/>
        <v>329</v>
      </c>
      <c r="M8" s="24" t="s">
        <v>17</v>
      </c>
    </row>
    <row r="9" spans="1:13" ht="15.75">
      <c r="A9" s="21" t="s">
        <v>17</v>
      </c>
      <c r="B9" s="15" t="s">
        <v>25</v>
      </c>
      <c r="C9" s="15" t="s">
        <v>26</v>
      </c>
      <c r="D9" s="15">
        <v>1966</v>
      </c>
      <c r="E9" s="15" t="s">
        <v>21</v>
      </c>
      <c r="F9" s="15">
        <f>5+8+10+8+5+8+10+10+9+7</f>
        <v>80</v>
      </c>
      <c r="G9" s="15">
        <f>9+10+10+9+6+7+9+9+10+10</f>
        <v>89</v>
      </c>
      <c r="H9" s="22">
        <f t="shared" si="0"/>
        <v>169</v>
      </c>
      <c r="I9" s="15">
        <f>10+10+8+7+7+8+10+8+7+4</f>
        <v>79</v>
      </c>
      <c r="J9" s="15">
        <f>5+9+7+8+9+8+8+8+9+6</f>
        <v>77</v>
      </c>
      <c r="K9" s="22">
        <f t="shared" si="1"/>
        <v>156</v>
      </c>
      <c r="L9" s="23">
        <f t="shared" si="2"/>
        <v>325</v>
      </c>
      <c r="M9" s="24" t="s">
        <v>17</v>
      </c>
    </row>
    <row r="10" spans="1:13" ht="15.75">
      <c r="A10" s="21">
        <f aca="true" t="shared" si="3" ref="A10:A16">RANK(L10,L$7:L$16)</f>
        <v>4</v>
      </c>
      <c r="B10" s="15" t="s">
        <v>37</v>
      </c>
      <c r="C10" s="15" t="s">
        <v>38</v>
      </c>
      <c r="D10" s="15">
        <v>1964</v>
      </c>
      <c r="E10" s="15" t="s">
        <v>21</v>
      </c>
      <c r="F10" s="15">
        <f>3+8+10+9+7+9+10+10+9+8</f>
        <v>83</v>
      </c>
      <c r="G10" s="15">
        <f>5+10+9+8+8+7+9+10+7+6</f>
        <v>79</v>
      </c>
      <c r="H10" s="22">
        <f t="shared" si="0"/>
        <v>162</v>
      </c>
      <c r="I10" s="15">
        <f>7+10+10+10+9+7+9+7+8+8</f>
        <v>85</v>
      </c>
      <c r="J10" s="15">
        <f>10+9+9+6+4+10+10+7+4+3</f>
        <v>72</v>
      </c>
      <c r="K10" s="22">
        <f t="shared" si="1"/>
        <v>157</v>
      </c>
      <c r="L10" s="23">
        <f t="shared" si="2"/>
        <v>319</v>
      </c>
      <c r="M10" s="24" t="s">
        <v>17</v>
      </c>
    </row>
    <row r="11" spans="1:13" ht="15.75">
      <c r="A11" s="21">
        <f t="shared" si="3"/>
        <v>5</v>
      </c>
      <c r="B11" s="15" t="s">
        <v>30</v>
      </c>
      <c r="C11" s="15" t="s">
        <v>31</v>
      </c>
      <c r="D11" s="15">
        <v>1968</v>
      </c>
      <c r="E11" s="15" t="s">
        <v>32</v>
      </c>
      <c r="F11" s="15">
        <f>7+8+9+10+7+6+6+10+9+8</f>
        <v>80</v>
      </c>
      <c r="G11" s="15">
        <f>8+8+8+9+9+5+8+9+9+5</f>
        <v>78</v>
      </c>
      <c r="H11" s="22">
        <f t="shared" si="0"/>
        <v>158</v>
      </c>
      <c r="I11" s="15">
        <f>10+10+10+9+5+5+7+8+7+8</f>
        <v>79</v>
      </c>
      <c r="J11" s="15">
        <f>7+7+8+9+3+10+9+7+7+6</f>
        <v>73</v>
      </c>
      <c r="K11" s="22">
        <f t="shared" si="1"/>
        <v>152</v>
      </c>
      <c r="L11" s="23">
        <f t="shared" si="2"/>
        <v>310</v>
      </c>
      <c r="M11" s="24" t="s">
        <v>17</v>
      </c>
    </row>
    <row r="12" spans="1:13" ht="15.75">
      <c r="A12" s="21">
        <f t="shared" si="3"/>
        <v>6</v>
      </c>
      <c r="B12" s="15" t="s">
        <v>41</v>
      </c>
      <c r="C12" s="15" t="s">
        <v>42</v>
      </c>
      <c r="D12" s="15">
        <v>1974</v>
      </c>
      <c r="E12" s="15" t="s">
        <v>21</v>
      </c>
      <c r="F12" s="15">
        <f>6+8+7+10+6+7+7+10+10+0</f>
        <v>71</v>
      </c>
      <c r="G12" s="15">
        <f>8+9+9+10+7+4+6+7+9+10</f>
        <v>79</v>
      </c>
      <c r="H12" s="22">
        <f t="shared" si="0"/>
        <v>150</v>
      </c>
      <c r="I12" s="15">
        <f>4+5+9+9+10+5+8+8+8+10</f>
        <v>76</v>
      </c>
      <c r="J12" s="15">
        <f>5+9+10+8+8+2+4+9+6+8</f>
        <v>69</v>
      </c>
      <c r="K12" s="22">
        <f t="shared" si="1"/>
        <v>145</v>
      </c>
      <c r="L12" s="23">
        <f t="shared" si="2"/>
        <v>295</v>
      </c>
      <c r="M12" s="24"/>
    </row>
    <row r="13" spans="1:13" ht="15.75">
      <c r="A13" s="21">
        <f t="shared" si="3"/>
        <v>7</v>
      </c>
      <c r="B13" s="15" t="s">
        <v>44</v>
      </c>
      <c r="C13" s="15" t="s">
        <v>45</v>
      </c>
      <c r="D13" s="15">
        <v>1965</v>
      </c>
      <c r="E13" s="15" t="s">
        <v>21</v>
      </c>
      <c r="F13" s="15">
        <v>67</v>
      </c>
      <c r="G13" s="15">
        <v>73</v>
      </c>
      <c r="H13" s="22">
        <f t="shared" si="0"/>
        <v>140</v>
      </c>
      <c r="I13" s="15">
        <v>71</v>
      </c>
      <c r="J13" s="15">
        <v>79</v>
      </c>
      <c r="K13" s="22">
        <f t="shared" si="1"/>
        <v>150</v>
      </c>
      <c r="L13" s="23">
        <f t="shared" si="2"/>
        <v>290</v>
      </c>
      <c r="M13" s="24"/>
    </row>
    <row r="14" spans="1:13" ht="15.75">
      <c r="A14" s="21">
        <f t="shared" si="3"/>
        <v>8</v>
      </c>
      <c r="B14" s="15" t="s">
        <v>39</v>
      </c>
      <c r="C14" s="15" t="s">
        <v>31</v>
      </c>
      <c r="D14" s="15">
        <v>1995</v>
      </c>
      <c r="E14" s="15" t="s">
        <v>32</v>
      </c>
      <c r="F14" s="15">
        <f>10+8+6+5+2+10+10+8+7+2</f>
        <v>68</v>
      </c>
      <c r="G14" s="15">
        <f>9+9+9+8+6+0+6+7+10+1</f>
        <v>65</v>
      </c>
      <c r="H14" s="22">
        <f t="shared" si="0"/>
        <v>133</v>
      </c>
      <c r="I14" s="15">
        <f>6+5+9+10+10+5+6+6+6+7</f>
        <v>70</v>
      </c>
      <c r="J14" s="15">
        <f>10+7+6+5+5+0+2+9+5+7</f>
        <v>56</v>
      </c>
      <c r="K14" s="22">
        <f t="shared" si="1"/>
        <v>126</v>
      </c>
      <c r="L14" s="23">
        <f t="shared" si="2"/>
        <v>259</v>
      </c>
      <c r="M14" s="24"/>
    </row>
    <row r="15" spans="1:13" ht="15.75">
      <c r="A15" s="21">
        <f t="shared" si="3"/>
        <v>9</v>
      </c>
      <c r="B15" s="15" t="s">
        <v>46</v>
      </c>
      <c r="C15" s="15" t="s">
        <v>47</v>
      </c>
      <c r="D15" s="15">
        <v>1947</v>
      </c>
      <c r="E15" s="15" t="s">
        <v>32</v>
      </c>
      <c r="F15" s="15">
        <f>4+7+10+8+7+6+10+10+8+4</f>
        <v>74</v>
      </c>
      <c r="G15" s="15">
        <f>5+8+9+8+7+0+1+3+4+3</f>
        <v>48</v>
      </c>
      <c r="H15" s="22">
        <f t="shared" si="0"/>
        <v>122</v>
      </c>
      <c r="I15" s="15">
        <f>3+9+8+7+5+0+0+10+7+6</f>
        <v>55</v>
      </c>
      <c r="J15" s="15">
        <f>5+8+7+6+4+5+2+2+7+4</f>
        <v>50</v>
      </c>
      <c r="K15" s="22">
        <f t="shared" si="1"/>
        <v>105</v>
      </c>
      <c r="L15" s="23">
        <f t="shared" si="2"/>
        <v>227</v>
      </c>
      <c r="M15" s="24"/>
    </row>
    <row r="16" spans="1:13" ht="15.75">
      <c r="A16" s="21">
        <f t="shared" si="3"/>
        <v>10</v>
      </c>
      <c r="B16" s="15" t="s">
        <v>66</v>
      </c>
      <c r="C16" s="15" t="s">
        <v>67</v>
      </c>
      <c r="D16" s="15">
        <v>1953</v>
      </c>
      <c r="E16" s="15" t="s">
        <v>21</v>
      </c>
      <c r="F16" s="15">
        <v>51</v>
      </c>
      <c r="G16" s="15">
        <v>54</v>
      </c>
      <c r="H16" s="22">
        <f t="shared" si="0"/>
        <v>105</v>
      </c>
      <c r="I16" s="15">
        <v>50</v>
      </c>
      <c r="J16" s="15">
        <v>55</v>
      </c>
      <c r="K16" s="22">
        <f t="shared" si="1"/>
        <v>105</v>
      </c>
      <c r="L16" s="23">
        <f t="shared" si="2"/>
        <v>210</v>
      </c>
      <c r="M16" s="24"/>
    </row>
    <row r="20" spans="1:4" ht="14.25">
      <c r="A20" t="s">
        <v>50</v>
      </c>
      <c r="D20" t="s">
        <v>53</v>
      </c>
    </row>
  </sheetData>
  <sheetProtection selectLockedCells="1" selectUnlockedCells="1"/>
  <mergeCells count="6">
    <mergeCell ref="D1:I1"/>
    <mergeCell ref="D2:I2"/>
    <mergeCell ref="I3:M3"/>
    <mergeCell ref="B5:E5"/>
    <mergeCell ref="F6:H6"/>
    <mergeCell ref="I6:K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zoomScale="107" zoomScaleNormal="107" zoomScalePageLayoutView="0" workbookViewId="0" topLeftCell="A22">
      <selection activeCell="G7" sqref="G7"/>
    </sheetView>
  </sheetViews>
  <sheetFormatPr defaultColWidth="10.50390625" defaultRowHeight="14.25"/>
  <cols>
    <col min="1" max="1" width="5.50390625" style="0" customWidth="1"/>
    <col min="2" max="2" width="12.00390625" style="0" customWidth="1"/>
    <col min="3" max="3" width="8.00390625" style="0" customWidth="1"/>
    <col min="4" max="4" width="11.875" style="0" customWidth="1"/>
    <col min="5" max="5" width="8.125" style="0" customWidth="1"/>
    <col min="6" max="6" width="10.50390625" style="21" customWidth="1"/>
  </cols>
  <sheetData>
    <row r="1" spans="3:15" ht="20.25">
      <c r="C1" s="26" t="s">
        <v>0</v>
      </c>
      <c r="D1" s="26"/>
      <c r="E1" s="26"/>
      <c r="F1" s="26"/>
      <c r="G1" s="26"/>
      <c r="H1" s="26"/>
      <c r="N1" s="1"/>
      <c r="O1" s="2"/>
    </row>
    <row r="2" spans="3:15" ht="18.75">
      <c r="C2" s="27" t="s">
        <v>1</v>
      </c>
      <c r="D2" s="27"/>
      <c r="E2" s="27"/>
      <c r="F2" s="27"/>
      <c r="G2" s="27"/>
      <c r="H2" s="27"/>
      <c r="N2" s="1"/>
      <c r="O2" s="2"/>
    </row>
    <row r="3" spans="6:15" ht="15.75">
      <c r="F3" s="28" t="s">
        <v>68</v>
      </c>
      <c r="G3" s="28"/>
      <c r="H3" s="28"/>
      <c r="I3" s="28"/>
      <c r="J3" s="28"/>
      <c r="L3" s="17"/>
      <c r="M3" s="17"/>
      <c r="N3" s="17"/>
      <c r="O3" s="17"/>
    </row>
    <row r="4" spans="6:15" ht="15">
      <c r="F4" s="2"/>
      <c r="J4" s="1"/>
      <c r="N4" s="1"/>
      <c r="O4" s="2"/>
    </row>
    <row r="5" spans="3:15" ht="15.75">
      <c r="C5" s="29" t="s">
        <v>69</v>
      </c>
      <c r="D5" s="29"/>
      <c r="E5" s="29"/>
      <c r="F5" s="29"/>
      <c r="J5" s="1"/>
      <c r="N5" s="1"/>
      <c r="O5" s="2"/>
    </row>
    <row r="6" spans="1:6" ht="15.75">
      <c r="A6" s="6" t="s">
        <v>4</v>
      </c>
      <c r="B6" s="6" t="s">
        <v>70</v>
      </c>
      <c r="C6" s="6" t="s">
        <v>5</v>
      </c>
      <c r="D6" s="6" t="s">
        <v>6</v>
      </c>
      <c r="E6" s="6" t="s">
        <v>71</v>
      </c>
      <c r="F6" s="7" t="s">
        <v>11</v>
      </c>
    </row>
    <row r="7" spans="1:6" ht="15.75">
      <c r="A7" s="24" t="s">
        <v>72</v>
      </c>
      <c r="B7" s="15" t="s">
        <v>73</v>
      </c>
      <c r="C7" s="15" t="s">
        <v>25</v>
      </c>
      <c r="D7" s="15" t="s">
        <v>26</v>
      </c>
      <c r="E7" s="25">
        <v>501</v>
      </c>
      <c r="F7" s="24"/>
    </row>
    <row r="8" spans="1:6" ht="15.75">
      <c r="A8" s="24"/>
      <c r="B8" s="15"/>
      <c r="C8" s="15" t="s">
        <v>28</v>
      </c>
      <c r="D8" s="15" t="s">
        <v>29</v>
      </c>
      <c r="E8" s="25">
        <v>501</v>
      </c>
      <c r="F8" s="24"/>
    </row>
    <row r="9" spans="1:6" ht="15.75">
      <c r="A9" s="24"/>
      <c r="B9" s="15"/>
      <c r="C9" s="15" t="s">
        <v>44</v>
      </c>
      <c r="D9" s="15" t="s">
        <v>45</v>
      </c>
      <c r="E9" s="25">
        <v>389</v>
      </c>
      <c r="F9" s="25">
        <f>SUM(E7:E9)</f>
        <v>1391</v>
      </c>
    </row>
    <row r="10" spans="1:6" ht="15.75">
      <c r="A10" s="24"/>
      <c r="B10" s="15"/>
      <c r="C10" s="15"/>
      <c r="D10" s="15"/>
      <c r="E10" s="15"/>
      <c r="F10" s="24"/>
    </row>
    <row r="11" spans="1:6" ht="15.75">
      <c r="A11" s="24" t="s">
        <v>74</v>
      </c>
      <c r="B11" s="15" t="s">
        <v>32</v>
      </c>
      <c r="C11" s="15" t="s">
        <v>30</v>
      </c>
      <c r="D11" s="15" t="s">
        <v>31</v>
      </c>
      <c r="E11" s="25">
        <v>500</v>
      </c>
      <c r="F11" s="24"/>
    </row>
    <row r="12" spans="1:6" ht="15.75">
      <c r="A12" s="24"/>
      <c r="B12" s="15"/>
      <c r="C12" s="15" t="s">
        <v>39</v>
      </c>
      <c r="D12" s="15" t="s">
        <v>31</v>
      </c>
      <c r="E12" s="25">
        <v>444</v>
      </c>
      <c r="F12" s="24"/>
    </row>
    <row r="13" spans="1:6" ht="15.75">
      <c r="A13" s="24"/>
      <c r="B13" s="15"/>
      <c r="C13" s="15" t="s">
        <v>22</v>
      </c>
      <c r="D13" s="15" t="s">
        <v>40</v>
      </c>
      <c r="E13" s="25">
        <v>443</v>
      </c>
      <c r="F13" s="25">
        <f>SUM(E11:E13)</f>
        <v>1387</v>
      </c>
    </row>
    <row r="14" spans="1:6" ht="15.75">
      <c r="A14" s="24"/>
      <c r="B14" s="15"/>
      <c r="C14" s="15"/>
      <c r="D14" s="15"/>
      <c r="E14" s="15"/>
      <c r="F14" s="24"/>
    </row>
    <row r="15" spans="1:6" ht="15.75">
      <c r="A15" s="24" t="s">
        <v>75</v>
      </c>
      <c r="B15" s="15" t="s">
        <v>76</v>
      </c>
      <c r="C15" s="15" t="s">
        <v>19</v>
      </c>
      <c r="D15" s="15" t="s">
        <v>20</v>
      </c>
      <c r="E15" s="25">
        <v>520</v>
      </c>
      <c r="F15" s="24"/>
    </row>
    <row r="16" spans="1:6" ht="15.75">
      <c r="A16" s="24"/>
      <c r="B16" s="15"/>
      <c r="C16" s="15" t="s">
        <v>37</v>
      </c>
      <c r="D16" s="15" t="s">
        <v>38</v>
      </c>
      <c r="E16" s="25">
        <v>452</v>
      </c>
      <c r="F16" s="24"/>
    </row>
    <row r="17" spans="1:6" ht="15.75">
      <c r="A17" s="24"/>
      <c r="B17" s="15"/>
      <c r="C17" s="15" t="s">
        <v>22</v>
      </c>
      <c r="D17" s="15" t="s">
        <v>43</v>
      </c>
      <c r="E17" s="25">
        <v>405</v>
      </c>
      <c r="F17" s="25">
        <f>SUM(E15:E17)</f>
        <v>1377</v>
      </c>
    </row>
    <row r="18" spans="1:6" ht="15.75">
      <c r="A18" s="24"/>
      <c r="B18" s="15"/>
      <c r="C18" s="15"/>
      <c r="D18" s="15"/>
      <c r="E18" s="15"/>
      <c r="F18" s="24"/>
    </row>
    <row r="19" spans="1:6" ht="15.75">
      <c r="A19" s="24" t="s">
        <v>77</v>
      </c>
      <c r="B19" s="15" t="s">
        <v>78</v>
      </c>
      <c r="C19" s="15" t="s">
        <v>33</v>
      </c>
      <c r="D19" s="15" t="s">
        <v>34</v>
      </c>
      <c r="E19" s="25">
        <v>489</v>
      </c>
      <c r="F19" s="24"/>
    </row>
    <row r="20" spans="1:6" ht="15.75">
      <c r="A20" s="15"/>
      <c r="B20" s="15"/>
      <c r="C20" s="15" t="s">
        <v>35</v>
      </c>
      <c r="D20" s="15" t="s">
        <v>36</v>
      </c>
      <c r="E20" s="25">
        <v>469</v>
      </c>
      <c r="F20" s="24"/>
    </row>
    <row r="21" spans="1:6" ht="15.75">
      <c r="A21" s="15"/>
      <c r="B21" s="15"/>
      <c r="C21" s="15" t="s">
        <v>41</v>
      </c>
      <c r="D21" s="15" t="s">
        <v>42</v>
      </c>
      <c r="E21" s="25">
        <v>408</v>
      </c>
      <c r="F21" s="25">
        <f>SUM(E19:E21)</f>
        <v>1366</v>
      </c>
    </row>
    <row r="25" spans="3:6" ht="15.75">
      <c r="C25" s="29" t="s">
        <v>79</v>
      </c>
      <c r="D25" s="29"/>
      <c r="E25" s="29"/>
      <c r="F25" s="29"/>
    </row>
    <row r="26" spans="1:6" ht="15.75">
      <c r="A26" s="6" t="s">
        <v>4</v>
      </c>
      <c r="B26" s="6" t="s">
        <v>70</v>
      </c>
      <c r="C26" s="6" t="s">
        <v>5</v>
      </c>
      <c r="D26" s="6" t="s">
        <v>6</v>
      </c>
      <c r="E26" s="6" t="s">
        <v>71</v>
      </c>
      <c r="F26" s="7" t="s">
        <v>11</v>
      </c>
    </row>
    <row r="27" spans="1:6" ht="15.75">
      <c r="A27" s="24" t="s">
        <v>72</v>
      </c>
      <c r="B27" s="15" t="s">
        <v>76</v>
      </c>
      <c r="C27" s="15" t="s">
        <v>28</v>
      </c>
      <c r="D27" s="15" t="s">
        <v>29</v>
      </c>
      <c r="E27" s="25">
        <v>337</v>
      </c>
      <c r="F27" s="24"/>
    </row>
    <row r="28" spans="1:6" ht="15.75">
      <c r="A28" s="24"/>
      <c r="B28" s="15"/>
      <c r="C28" s="15" t="s">
        <v>25</v>
      </c>
      <c r="D28" s="15" t="s">
        <v>26</v>
      </c>
      <c r="E28" s="25">
        <v>325</v>
      </c>
      <c r="F28" s="24"/>
    </row>
    <row r="29" spans="1:6" ht="15.75">
      <c r="A29" s="24"/>
      <c r="B29" s="15"/>
      <c r="C29" s="15" t="s">
        <v>37</v>
      </c>
      <c r="D29" s="15" t="s">
        <v>38</v>
      </c>
      <c r="E29" s="25">
        <v>319</v>
      </c>
      <c r="F29" s="25">
        <f>SUM(E27:E29)</f>
        <v>981</v>
      </c>
    </row>
    <row r="30" spans="1:6" ht="15.75">
      <c r="A30" s="24"/>
      <c r="B30" s="15"/>
      <c r="C30" s="15"/>
      <c r="D30" s="15"/>
      <c r="E30" s="15"/>
      <c r="F30" s="24"/>
    </row>
    <row r="31" spans="1:6" ht="15.75">
      <c r="A31" s="24" t="s">
        <v>74</v>
      </c>
      <c r="B31" s="15" t="s">
        <v>32</v>
      </c>
      <c r="C31" s="15" t="s">
        <v>30</v>
      </c>
      <c r="D31" s="15" t="s">
        <v>31</v>
      </c>
      <c r="E31" s="25">
        <v>310</v>
      </c>
      <c r="F31" s="24"/>
    </row>
    <row r="32" spans="1:6" ht="15.75">
      <c r="A32" s="24"/>
      <c r="B32" s="15"/>
      <c r="C32" s="15" t="s">
        <v>39</v>
      </c>
      <c r="D32" s="15" t="s">
        <v>31</v>
      </c>
      <c r="E32" s="25">
        <v>259</v>
      </c>
      <c r="F32" s="24"/>
    </row>
    <row r="33" spans="1:6" ht="15.75">
      <c r="A33" s="24"/>
      <c r="B33" s="15"/>
      <c r="C33" s="15" t="s">
        <v>46</v>
      </c>
      <c r="D33" s="15" t="s">
        <v>47</v>
      </c>
      <c r="E33" s="25">
        <v>227</v>
      </c>
      <c r="F33" s="25">
        <f>SUM(E31:E33)</f>
        <v>796</v>
      </c>
    </row>
    <row r="34" spans="1:6" ht="15.75">
      <c r="A34" s="24"/>
      <c r="B34" s="15"/>
      <c r="C34" s="15"/>
      <c r="D34" s="15"/>
      <c r="E34" s="15"/>
      <c r="F34" s="24"/>
    </row>
    <row r="35" spans="1:6" ht="15.75">
      <c r="A35" s="24" t="s">
        <v>75</v>
      </c>
      <c r="B35" s="15" t="s">
        <v>73</v>
      </c>
      <c r="C35" s="15" t="s">
        <v>41</v>
      </c>
      <c r="D35" s="15" t="s">
        <v>42</v>
      </c>
      <c r="E35" s="25">
        <v>295</v>
      </c>
      <c r="F35" s="24"/>
    </row>
    <row r="36" spans="1:6" ht="15.75">
      <c r="A36" s="15"/>
      <c r="B36" s="15"/>
      <c r="C36" s="15" t="s">
        <v>44</v>
      </c>
      <c r="D36" s="15" t="s">
        <v>45</v>
      </c>
      <c r="E36" s="25">
        <v>290</v>
      </c>
      <c r="F36" s="24"/>
    </row>
    <row r="37" spans="1:6" ht="15.75">
      <c r="A37" s="15"/>
      <c r="B37" s="15"/>
      <c r="C37" s="15" t="s">
        <v>66</v>
      </c>
      <c r="D37" s="15" t="s">
        <v>67</v>
      </c>
      <c r="E37" s="25">
        <v>210</v>
      </c>
      <c r="F37" s="25">
        <f>SUM(E35:E37)</f>
        <v>795</v>
      </c>
    </row>
  </sheetData>
  <sheetProtection selectLockedCells="1" selectUnlockedCells="1"/>
  <mergeCells count="5">
    <mergeCell ref="C1:H1"/>
    <mergeCell ref="C2:H2"/>
    <mergeCell ref="F3:J3"/>
    <mergeCell ref="C5:F5"/>
    <mergeCell ref="C25:F2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cp:keywords/>
  <dc:description/>
  <cp:lastModifiedBy>Karin Muru</cp:lastModifiedBy>
  <cp:lastPrinted>2016-12-20T10:52:33Z</cp:lastPrinted>
  <dcterms:created xsi:type="dcterms:W3CDTF">2016-12-20T10:53:05Z</dcterms:created>
  <dcterms:modified xsi:type="dcterms:W3CDTF">2016-12-20T10:53:51Z</dcterms:modified>
  <cp:category/>
  <cp:version/>
  <cp:contentType/>
  <cp:contentStatus/>
</cp:coreProperties>
</file>